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231"/>
  <workbookPr codeName="ThisWorkbook" defaultThemeVersion="124226"/>
  <mc:AlternateContent xmlns:mc="http://schemas.openxmlformats.org/markup-compatibility/2006">
    <mc:Choice Requires="x15">
      <x15ac:absPath xmlns:x15ac="http://schemas.microsoft.com/office/spreadsheetml/2010/11/ac" url="C:\Users\Felhasználó\OneDrive\Asztali gép\"/>
    </mc:Choice>
  </mc:AlternateContent>
  <xr:revisionPtr revIDLastSave="0" documentId="13_ncr:1_{4507AF50-CE01-44DA-977C-B36D31FED1DB}" xr6:coauthVersionLast="47" xr6:coauthVersionMax="47" xr10:uidLastSave="{00000000-0000-0000-0000-000000000000}"/>
  <bookViews>
    <workbookView xWindow="-5340" yWindow="-21710" windowWidth="38620" windowHeight="21220" tabRatio="687" activeTab="1" xr2:uid="{00000000-000D-0000-FFFF-FFFF00000000}"/>
  </bookViews>
  <sheets>
    <sheet name="Munka4" sheetId="13" r:id="rId1"/>
    <sheet name="Garázskapu árkalkulátor" sheetId="1" r:id="rId2"/>
    <sheet name="Beépítési helyigény" sheetId="4" r:id="rId3"/>
    <sheet name="Kérdések és javaslatok" sheetId="10" r:id="rId4"/>
    <sheet name="Felmérési lap" sheetId="12" r:id="rId5"/>
    <sheet name="Referencia" sheetId="11" r:id="rId6"/>
    <sheet name="ÁESZF" sheetId="14" r:id="rId7"/>
    <sheet name="Megrendelőlap" sheetId="8" r:id="rId8"/>
    <sheet name="Munka1" sheetId="5" state="hidden" r:id="rId9"/>
    <sheet name="Sheet2" sheetId="16" state="hidden" r:id="rId10"/>
  </sheets>
  <definedNames>
    <definedName name="_xlnm._FilterDatabase" localSheetId="1" hidden="1">'Garázskapu árkalkulátor'!$C$7:$R$34</definedName>
    <definedName name="_xlnm.Print_Area" localSheetId="1">'Garázskapu árkalkulátor'!$B$2:$S$44</definedName>
    <definedName name="_xlnm.Print_Area" localSheetId="3">'Kérdések és javaslatok'!$A$1:$I$135</definedName>
    <definedName name="_xlnm.Print_Area" localSheetId="7">Megrendelőlap!$A$1:$S$49</definedName>
    <definedName name="_xlnm.Print_Area" localSheetId="8">Munka1!#REF!</definedName>
  </definedNames>
  <calcPr calcId="181029"/>
  <fileRecoveryPr autoRecover="0"/>
</workbook>
</file>

<file path=xl/calcChain.xml><?xml version="1.0" encoding="utf-8"?>
<calcChain xmlns="http://schemas.openxmlformats.org/spreadsheetml/2006/main">
  <c r="E23" i="5" l="1"/>
  <c r="CQ358" i="5"/>
  <c r="CO358" i="5"/>
  <c r="CM358" i="5"/>
  <c r="CK358" i="5"/>
  <c r="CI358" i="5"/>
  <c r="CG358" i="5"/>
  <c r="CE358" i="5"/>
  <c r="CC358" i="5"/>
  <c r="CA358" i="5"/>
  <c r="CQ357" i="5"/>
  <c r="CO357" i="5"/>
  <c r="CM357" i="5"/>
  <c r="CK357" i="5"/>
  <c r="CI357" i="5"/>
  <c r="CG357" i="5"/>
  <c r="CE357" i="5"/>
  <c r="CC357" i="5"/>
  <c r="CA357" i="5"/>
  <c r="CQ356" i="5"/>
  <c r="CO356" i="5"/>
  <c r="CM356" i="5"/>
  <c r="CK356" i="5"/>
  <c r="CI356" i="5"/>
  <c r="CG356" i="5"/>
  <c r="CE356" i="5"/>
  <c r="CC356" i="5"/>
  <c r="CA356" i="5"/>
  <c r="CQ355" i="5"/>
  <c r="CO355" i="5"/>
  <c r="CM355" i="5"/>
  <c r="CK355" i="5"/>
  <c r="CI355" i="5"/>
  <c r="CG355" i="5"/>
  <c r="CE355" i="5"/>
  <c r="CC355" i="5"/>
  <c r="CA355" i="5"/>
  <c r="CQ354" i="5"/>
  <c r="CO354" i="5"/>
  <c r="CM354" i="5"/>
  <c r="CK354" i="5"/>
  <c r="CI354" i="5"/>
  <c r="CG354" i="5"/>
  <c r="CE354" i="5"/>
  <c r="CC354" i="5"/>
  <c r="CA354" i="5"/>
  <c r="CQ353" i="5"/>
  <c r="CO353" i="5"/>
  <c r="CM353" i="5"/>
  <c r="CK353" i="5"/>
  <c r="CI353" i="5"/>
  <c r="CG353" i="5"/>
  <c r="CE353" i="5"/>
  <c r="CC353" i="5"/>
  <c r="CA353" i="5"/>
  <c r="CQ352" i="5"/>
  <c r="CO352" i="5"/>
  <c r="CM352" i="5"/>
  <c r="CK352" i="5"/>
  <c r="CI352" i="5"/>
  <c r="CG352" i="5"/>
  <c r="CE352" i="5"/>
  <c r="CC352" i="5"/>
  <c r="CA352" i="5"/>
  <c r="CQ351" i="5"/>
  <c r="CO351" i="5"/>
  <c r="CM351" i="5"/>
  <c r="CK351" i="5"/>
  <c r="CI351" i="5"/>
  <c r="CG351" i="5"/>
  <c r="CE351" i="5"/>
  <c r="CC351" i="5"/>
  <c r="CA351" i="5"/>
  <c r="CQ350" i="5"/>
  <c r="CO350" i="5"/>
  <c r="CM350" i="5"/>
  <c r="CK350" i="5"/>
  <c r="CI350" i="5"/>
  <c r="CG350" i="5"/>
  <c r="CE350" i="5"/>
  <c r="CC350" i="5"/>
  <c r="CA350" i="5"/>
  <c r="CQ349" i="5"/>
  <c r="CO349" i="5"/>
  <c r="CM349" i="5"/>
  <c r="CK349" i="5"/>
  <c r="CI349" i="5"/>
  <c r="CG349" i="5"/>
  <c r="CE349" i="5"/>
  <c r="CC349" i="5"/>
  <c r="CA349" i="5"/>
  <c r="CQ348" i="5"/>
  <c r="CO348" i="5"/>
  <c r="CM348" i="5"/>
  <c r="CK348" i="5"/>
  <c r="CI348" i="5"/>
  <c r="CG348" i="5"/>
  <c r="CE348" i="5"/>
  <c r="CC348" i="5"/>
  <c r="CA348" i="5"/>
  <c r="CQ347" i="5"/>
  <c r="CO347" i="5"/>
  <c r="CM347" i="5"/>
  <c r="CK347" i="5"/>
  <c r="CI347" i="5"/>
  <c r="CG347" i="5"/>
  <c r="CE347" i="5"/>
  <c r="CC347" i="5"/>
  <c r="CA347" i="5"/>
  <c r="CQ346" i="5"/>
  <c r="CO346" i="5"/>
  <c r="CM346" i="5"/>
  <c r="CK346" i="5"/>
  <c r="CI346" i="5"/>
  <c r="CG346" i="5"/>
  <c r="CE346" i="5"/>
  <c r="CC346" i="5"/>
  <c r="CA346" i="5"/>
  <c r="CQ345" i="5"/>
  <c r="CO345" i="5"/>
  <c r="CM345" i="5"/>
  <c r="CK345" i="5"/>
  <c r="CI345" i="5"/>
  <c r="CG345" i="5"/>
  <c r="CE345" i="5"/>
  <c r="CC345" i="5"/>
  <c r="CA345" i="5"/>
  <c r="CQ344" i="5"/>
  <c r="CO344" i="5"/>
  <c r="CM344" i="5"/>
  <c r="CK344" i="5"/>
  <c r="CI344" i="5"/>
  <c r="CG344" i="5"/>
  <c r="CE344" i="5"/>
  <c r="CC344" i="5"/>
  <c r="CA344" i="5"/>
  <c r="CQ343" i="5"/>
  <c r="CO343" i="5"/>
  <c r="CM343" i="5"/>
  <c r="CK343" i="5"/>
  <c r="CI343" i="5"/>
  <c r="CG343" i="5"/>
  <c r="CE343" i="5"/>
  <c r="CC343" i="5"/>
  <c r="CA343" i="5"/>
  <c r="CQ342" i="5"/>
  <c r="CO342" i="5"/>
  <c r="CM342" i="5"/>
  <c r="CK342" i="5"/>
  <c r="CI342" i="5"/>
  <c r="CG342" i="5"/>
  <c r="CE342" i="5"/>
  <c r="CC342" i="5"/>
  <c r="CA342" i="5"/>
  <c r="CQ341" i="5"/>
  <c r="CO341" i="5"/>
  <c r="CM341" i="5"/>
  <c r="CK341" i="5"/>
  <c r="CI341" i="5"/>
  <c r="CG341" i="5"/>
  <c r="CE341" i="5"/>
  <c r="CC341" i="5"/>
  <c r="CA341" i="5"/>
  <c r="CQ340" i="5"/>
  <c r="CO340" i="5"/>
  <c r="CM340" i="5"/>
  <c r="CK340" i="5"/>
  <c r="CI340" i="5"/>
  <c r="CG340" i="5"/>
  <c r="CE340" i="5"/>
  <c r="CC340" i="5"/>
  <c r="CA340" i="5"/>
  <c r="CQ339" i="5"/>
  <c r="CO339" i="5"/>
  <c r="CM339" i="5"/>
  <c r="CK339" i="5"/>
  <c r="CI339" i="5"/>
  <c r="CG339" i="5"/>
  <c r="CE339" i="5"/>
  <c r="CC339" i="5"/>
  <c r="CA339" i="5"/>
  <c r="CQ338" i="5"/>
  <c r="CO338" i="5"/>
  <c r="CM338" i="5"/>
  <c r="CK338" i="5"/>
  <c r="CI338" i="5"/>
  <c r="CG338" i="5"/>
  <c r="CE338" i="5"/>
  <c r="CC338" i="5"/>
  <c r="CA338" i="5"/>
  <c r="CQ337" i="5"/>
  <c r="CO337" i="5"/>
  <c r="CM337" i="5"/>
  <c r="CK337" i="5"/>
  <c r="CI337" i="5"/>
  <c r="CG337" i="5"/>
  <c r="CE337" i="5"/>
  <c r="CC337" i="5"/>
  <c r="CA337" i="5"/>
  <c r="CQ336" i="5"/>
  <c r="CO336" i="5"/>
  <c r="CM336" i="5"/>
  <c r="CK336" i="5"/>
  <c r="CI336" i="5"/>
  <c r="CG336" i="5"/>
  <c r="CE336" i="5"/>
  <c r="CC336" i="5"/>
  <c r="CA336" i="5"/>
  <c r="CQ335" i="5"/>
  <c r="CO335" i="5"/>
  <c r="CM335" i="5"/>
  <c r="CK335" i="5"/>
  <c r="CI335" i="5"/>
  <c r="CG335" i="5"/>
  <c r="CE335" i="5"/>
  <c r="CC335" i="5"/>
  <c r="CA335" i="5"/>
  <c r="CQ334" i="5"/>
  <c r="CO334" i="5"/>
  <c r="CM334" i="5"/>
  <c r="CK334" i="5"/>
  <c r="CI334" i="5"/>
  <c r="CG334" i="5"/>
  <c r="CE334" i="5"/>
  <c r="CC334" i="5"/>
  <c r="CA334" i="5"/>
  <c r="CQ333" i="5"/>
  <c r="CO333" i="5"/>
  <c r="CM333" i="5"/>
  <c r="CK333" i="5"/>
  <c r="CI333" i="5"/>
  <c r="CG333" i="5"/>
  <c r="CE333" i="5"/>
  <c r="CC333" i="5"/>
  <c r="CA333" i="5"/>
  <c r="CQ332" i="5"/>
  <c r="CO332" i="5"/>
  <c r="CM332" i="5"/>
  <c r="CK332" i="5"/>
  <c r="CI332" i="5"/>
  <c r="CG332" i="5"/>
  <c r="CE332" i="5"/>
  <c r="CC332" i="5"/>
  <c r="CA332" i="5"/>
  <c r="CQ331" i="5"/>
  <c r="CO331" i="5"/>
  <c r="CM331" i="5"/>
  <c r="CK331" i="5"/>
  <c r="CI331" i="5"/>
  <c r="CG331" i="5"/>
  <c r="CE331" i="5"/>
  <c r="CC331" i="5"/>
  <c r="CA331" i="5"/>
  <c r="CQ330" i="5"/>
  <c r="CO330" i="5"/>
  <c r="CM330" i="5"/>
  <c r="CK330" i="5"/>
  <c r="CI330" i="5"/>
  <c r="CG330" i="5"/>
  <c r="CE330" i="5"/>
  <c r="CC330" i="5"/>
  <c r="CA330" i="5"/>
  <c r="CQ329" i="5"/>
  <c r="CO329" i="5"/>
  <c r="CM329" i="5"/>
  <c r="CK329" i="5"/>
  <c r="CI329" i="5"/>
  <c r="CG329" i="5"/>
  <c r="CE329" i="5"/>
  <c r="CC329" i="5"/>
  <c r="CA329" i="5"/>
  <c r="CQ328" i="5"/>
  <c r="CO328" i="5"/>
  <c r="CM328" i="5"/>
  <c r="CK328" i="5"/>
  <c r="CI328" i="5"/>
  <c r="CG328" i="5"/>
  <c r="CE328" i="5"/>
  <c r="CC328" i="5"/>
  <c r="CA328" i="5"/>
  <c r="CQ327" i="5"/>
  <c r="CO327" i="5"/>
  <c r="CM327" i="5"/>
  <c r="CK327" i="5"/>
  <c r="CI327" i="5"/>
  <c r="CG327" i="5"/>
  <c r="CE327" i="5"/>
  <c r="CC327" i="5"/>
  <c r="CA327" i="5"/>
  <c r="CQ326" i="5"/>
  <c r="CO326" i="5"/>
  <c r="CM326" i="5"/>
  <c r="CK326" i="5"/>
  <c r="CI326" i="5"/>
  <c r="CG326" i="5"/>
  <c r="CE326" i="5"/>
  <c r="CC326" i="5"/>
  <c r="CA326" i="5"/>
  <c r="CQ325" i="5"/>
  <c r="CO325" i="5"/>
  <c r="CM325" i="5"/>
  <c r="CK325" i="5"/>
  <c r="CI325" i="5"/>
  <c r="CG325" i="5"/>
  <c r="CE325" i="5"/>
  <c r="CC325" i="5"/>
  <c r="CA325" i="5"/>
  <c r="CQ324" i="5"/>
  <c r="CO324" i="5"/>
  <c r="CM324" i="5"/>
  <c r="CK324" i="5"/>
  <c r="CI324" i="5"/>
  <c r="CG324" i="5"/>
  <c r="CE324" i="5"/>
  <c r="CC324" i="5"/>
  <c r="CA324" i="5"/>
  <c r="CQ323" i="5"/>
  <c r="CO323" i="5"/>
  <c r="CM323" i="5"/>
  <c r="CK323" i="5"/>
  <c r="CI323" i="5"/>
  <c r="CG323" i="5"/>
  <c r="CE323" i="5"/>
  <c r="CC323" i="5"/>
  <c r="CA323" i="5"/>
  <c r="CQ322" i="5"/>
  <c r="CO322" i="5"/>
  <c r="CM322" i="5"/>
  <c r="CK322" i="5"/>
  <c r="CI322" i="5"/>
  <c r="CG322" i="5"/>
  <c r="CE322" i="5"/>
  <c r="CC322" i="5"/>
  <c r="CA322" i="5"/>
  <c r="CQ321" i="5"/>
  <c r="CO321" i="5"/>
  <c r="CM321" i="5"/>
  <c r="CK321" i="5"/>
  <c r="CI321" i="5"/>
  <c r="CG321" i="5"/>
  <c r="CE321" i="5"/>
  <c r="CC321" i="5"/>
  <c r="CA321" i="5"/>
  <c r="CQ320" i="5"/>
  <c r="CO320" i="5"/>
  <c r="CM320" i="5"/>
  <c r="CK320" i="5"/>
  <c r="CI320" i="5"/>
  <c r="CG320" i="5"/>
  <c r="CE320" i="5"/>
  <c r="CC320" i="5"/>
  <c r="CA320" i="5"/>
  <c r="CQ319" i="5"/>
  <c r="CO319" i="5"/>
  <c r="CM319" i="5"/>
  <c r="CK319" i="5"/>
  <c r="CI319" i="5"/>
  <c r="CG319" i="5"/>
  <c r="CE319" i="5"/>
  <c r="CC319" i="5"/>
  <c r="CA319" i="5"/>
  <c r="CQ318" i="5"/>
  <c r="CO318" i="5"/>
  <c r="CM318" i="5"/>
  <c r="CK318" i="5"/>
  <c r="CI318" i="5"/>
  <c r="CG318" i="5"/>
  <c r="CE318" i="5"/>
  <c r="CC318" i="5"/>
  <c r="CA318" i="5"/>
  <c r="CQ317" i="5"/>
  <c r="CO317" i="5"/>
  <c r="CM317" i="5"/>
  <c r="CK317" i="5"/>
  <c r="CI317" i="5"/>
  <c r="CG317" i="5"/>
  <c r="CE317" i="5"/>
  <c r="CC317" i="5"/>
  <c r="CA317" i="5"/>
  <c r="CQ316" i="5"/>
  <c r="CO316" i="5"/>
  <c r="CM316" i="5"/>
  <c r="CK316" i="5"/>
  <c r="CI316" i="5"/>
  <c r="CG316" i="5"/>
  <c r="CE316" i="5"/>
  <c r="CC316" i="5"/>
  <c r="CA316" i="5"/>
  <c r="CQ315" i="5"/>
  <c r="CO315" i="5"/>
  <c r="CM315" i="5"/>
  <c r="CK315" i="5"/>
  <c r="CI315" i="5"/>
  <c r="CG315" i="5"/>
  <c r="CE315" i="5"/>
  <c r="CC315" i="5"/>
  <c r="CA315" i="5"/>
  <c r="CQ314" i="5"/>
  <c r="CO314" i="5"/>
  <c r="CM314" i="5"/>
  <c r="CK314" i="5"/>
  <c r="CI314" i="5"/>
  <c r="CG314" i="5"/>
  <c r="CE314" i="5"/>
  <c r="CC314" i="5"/>
  <c r="CA314" i="5"/>
  <c r="CQ313" i="5"/>
  <c r="CO313" i="5"/>
  <c r="CM313" i="5"/>
  <c r="CK313" i="5"/>
  <c r="CI313" i="5"/>
  <c r="CG313" i="5"/>
  <c r="CE313" i="5"/>
  <c r="CC313" i="5"/>
  <c r="CA313" i="5"/>
  <c r="CQ312" i="5"/>
  <c r="CO312" i="5"/>
  <c r="CM312" i="5"/>
  <c r="CK312" i="5"/>
  <c r="CI312" i="5"/>
  <c r="CG312" i="5"/>
  <c r="CE312" i="5"/>
  <c r="CC312" i="5"/>
  <c r="CA312" i="5"/>
  <c r="CQ311" i="5"/>
  <c r="CO311" i="5"/>
  <c r="CM311" i="5"/>
  <c r="CK311" i="5"/>
  <c r="CI311" i="5"/>
  <c r="CG311" i="5"/>
  <c r="CE311" i="5"/>
  <c r="CC311" i="5"/>
  <c r="CA311" i="5"/>
  <c r="CQ310" i="5"/>
  <c r="CO310" i="5"/>
  <c r="CM310" i="5"/>
  <c r="CK310" i="5"/>
  <c r="CI310" i="5"/>
  <c r="CG310" i="5"/>
  <c r="CE310" i="5"/>
  <c r="CC310" i="5"/>
  <c r="CA310" i="5"/>
  <c r="CQ309" i="5"/>
  <c r="CO309" i="5"/>
  <c r="CM309" i="5"/>
  <c r="CK309" i="5"/>
  <c r="CI309" i="5"/>
  <c r="CG309" i="5"/>
  <c r="CE309" i="5"/>
  <c r="CC309" i="5"/>
  <c r="CA309" i="5"/>
  <c r="CQ308" i="5"/>
  <c r="CO308" i="5"/>
  <c r="CM308" i="5"/>
  <c r="CK308" i="5"/>
  <c r="CI308" i="5"/>
  <c r="CG308" i="5"/>
  <c r="CE308" i="5"/>
  <c r="CC308" i="5"/>
  <c r="CA308" i="5"/>
  <c r="CQ307" i="5"/>
  <c r="CO307" i="5"/>
  <c r="CM307" i="5"/>
  <c r="CK307" i="5"/>
  <c r="CI307" i="5"/>
  <c r="CG307" i="5"/>
  <c r="CE307" i="5"/>
  <c r="CC307" i="5"/>
  <c r="CA307" i="5"/>
  <c r="CQ306" i="5"/>
  <c r="CO306" i="5"/>
  <c r="CM306" i="5"/>
  <c r="CK306" i="5"/>
  <c r="CI306" i="5"/>
  <c r="CG306" i="5"/>
  <c r="CE306" i="5"/>
  <c r="CC306" i="5"/>
  <c r="CA306" i="5"/>
  <c r="CQ305" i="5"/>
  <c r="CO305" i="5"/>
  <c r="CM305" i="5"/>
  <c r="CK305" i="5"/>
  <c r="CI305" i="5"/>
  <c r="CG305" i="5"/>
  <c r="CE305" i="5"/>
  <c r="CC305" i="5"/>
  <c r="CA305" i="5"/>
  <c r="CQ304" i="5"/>
  <c r="CO304" i="5"/>
  <c r="CM304" i="5"/>
  <c r="CK304" i="5"/>
  <c r="CI304" i="5"/>
  <c r="CG304" i="5"/>
  <c r="CE304" i="5"/>
  <c r="CC304" i="5"/>
  <c r="CA304" i="5"/>
  <c r="CQ303" i="5"/>
  <c r="CO303" i="5"/>
  <c r="CM303" i="5"/>
  <c r="CK303" i="5"/>
  <c r="CI303" i="5"/>
  <c r="CG303" i="5"/>
  <c r="CE303" i="5"/>
  <c r="CC303" i="5"/>
  <c r="CA303" i="5"/>
  <c r="CQ302" i="5"/>
  <c r="CO302" i="5"/>
  <c r="CM302" i="5"/>
  <c r="CK302" i="5"/>
  <c r="CI302" i="5"/>
  <c r="CG302" i="5"/>
  <c r="CE302" i="5"/>
  <c r="CC302" i="5"/>
  <c r="CA302" i="5"/>
  <c r="CQ301" i="5"/>
  <c r="CO301" i="5"/>
  <c r="CM301" i="5"/>
  <c r="CK301" i="5"/>
  <c r="CI301" i="5"/>
  <c r="CG301" i="5"/>
  <c r="CE301" i="5"/>
  <c r="CC301" i="5"/>
  <c r="CA301" i="5"/>
  <c r="CQ300" i="5"/>
  <c r="CO300" i="5"/>
  <c r="CM300" i="5"/>
  <c r="CK300" i="5"/>
  <c r="CI300" i="5"/>
  <c r="CG300" i="5"/>
  <c r="CE300" i="5"/>
  <c r="CC300" i="5"/>
  <c r="CA300" i="5"/>
  <c r="CQ299" i="5"/>
  <c r="CO299" i="5"/>
  <c r="CM299" i="5"/>
  <c r="CK299" i="5"/>
  <c r="CI299" i="5"/>
  <c r="CG299" i="5"/>
  <c r="CE299" i="5"/>
  <c r="CC299" i="5"/>
  <c r="CA299" i="5"/>
  <c r="CQ298" i="5"/>
  <c r="CO298" i="5"/>
  <c r="CM298" i="5"/>
  <c r="CK298" i="5"/>
  <c r="CI298" i="5"/>
  <c r="CG298" i="5"/>
  <c r="CE298" i="5"/>
  <c r="CC298" i="5"/>
  <c r="CA298" i="5"/>
  <c r="CQ297" i="5"/>
  <c r="CO297" i="5"/>
  <c r="CM297" i="5"/>
  <c r="CK297" i="5"/>
  <c r="CI297" i="5"/>
  <c r="CG297" i="5"/>
  <c r="CE297" i="5"/>
  <c r="CC297" i="5"/>
  <c r="CA297" i="5"/>
  <c r="CQ296" i="5"/>
  <c r="CO296" i="5"/>
  <c r="CM296" i="5"/>
  <c r="CK296" i="5"/>
  <c r="CI296" i="5"/>
  <c r="CG296" i="5"/>
  <c r="CE296" i="5"/>
  <c r="CC296" i="5"/>
  <c r="CA296" i="5"/>
  <c r="CQ295" i="5"/>
  <c r="CO295" i="5"/>
  <c r="CM295" i="5"/>
  <c r="CK295" i="5"/>
  <c r="CI295" i="5"/>
  <c r="CG295" i="5"/>
  <c r="CE295" i="5"/>
  <c r="CC295" i="5"/>
  <c r="CA295" i="5"/>
  <c r="CQ294" i="5"/>
  <c r="CO294" i="5"/>
  <c r="CM294" i="5"/>
  <c r="CK294" i="5"/>
  <c r="CI294" i="5"/>
  <c r="CG294" i="5"/>
  <c r="CE294" i="5"/>
  <c r="CC294" i="5"/>
  <c r="CA294" i="5"/>
  <c r="CQ293" i="5"/>
  <c r="CO293" i="5"/>
  <c r="CM293" i="5"/>
  <c r="CK293" i="5"/>
  <c r="CI293" i="5"/>
  <c r="CG293" i="5"/>
  <c r="CE293" i="5"/>
  <c r="CC293" i="5"/>
  <c r="CA293" i="5"/>
  <c r="CQ292" i="5"/>
  <c r="CO292" i="5"/>
  <c r="CM292" i="5"/>
  <c r="CK292" i="5"/>
  <c r="CI292" i="5"/>
  <c r="CG292" i="5"/>
  <c r="CE292" i="5"/>
  <c r="CC292" i="5"/>
  <c r="CA292" i="5"/>
  <c r="CQ291" i="5"/>
  <c r="CO291" i="5"/>
  <c r="CM291" i="5"/>
  <c r="CK291" i="5"/>
  <c r="CI291" i="5"/>
  <c r="CG291" i="5"/>
  <c r="CE291" i="5"/>
  <c r="CC291" i="5"/>
  <c r="CA291" i="5"/>
  <c r="CQ290" i="5"/>
  <c r="CO290" i="5"/>
  <c r="CM290" i="5"/>
  <c r="CK290" i="5"/>
  <c r="CI290" i="5"/>
  <c r="CG290" i="5"/>
  <c r="CE290" i="5"/>
  <c r="CC290" i="5"/>
  <c r="CA290" i="5"/>
  <c r="CQ289" i="5"/>
  <c r="CO289" i="5"/>
  <c r="CM289" i="5"/>
  <c r="CK289" i="5"/>
  <c r="CI289" i="5"/>
  <c r="CG289" i="5"/>
  <c r="CE289" i="5"/>
  <c r="CC289" i="5"/>
  <c r="CA289" i="5"/>
  <c r="CQ288" i="5"/>
  <c r="CO288" i="5"/>
  <c r="CM288" i="5"/>
  <c r="CK288" i="5"/>
  <c r="CI288" i="5"/>
  <c r="CG288" i="5"/>
  <c r="CE288" i="5"/>
  <c r="CC288" i="5"/>
  <c r="CA288" i="5"/>
  <c r="U80" i="16"/>
  <c r="U79" i="16"/>
  <c r="O80" i="16"/>
  <c r="O79" i="16"/>
  <c r="M80" i="16"/>
  <c r="M79" i="16"/>
  <c r="S79" i="16"/>
  <c r="K79" i="16"/>
  <c r="I79" i="16"/>
  <c r="Q79" i="16"/>
  <c r="G79" i="16"/>
  <c r="E79" i="16"/>
  <c r="U57" i="16"/>
  <c r="S57" i="16"/>
  <c r="Q57" i="16"/>
  <c r="O57" i="16"/>
  <c r="M57" i="16"/>
  <c r="K57" i="16"/>
  <c r="I57" i="16"/>
  <c r="G57" i="16"/>
  <c r="E57" i="16"/>
  <c r="U56" i="16"/>
  <c r="S56" i="16"/>
  <c r="Q56" i="16"/>
  <c r="O56" i="16"/>
  <c r="M56" i="16"/>
  <c r="K56" i="16"/>
  <c r="I56" i="16"/>
  <c r="G56" i="16"/>
  <c r="E56" i="16"/>
  <c r="U51" i="16"/>
  <c r="S51" i="16"/>
  <c r="Q51" i="16"/>
  <c r="O51" i="16"/>
  <c r="M51" i="16"/>
  <c r="K51" i="16"/>
  <c r="I51" i="16"/>
  <c r="G51" i="16"/>
  <c r="E51" i="16"/>
  <c r="U50" i="16"/>
  <c r="S50" i="16"/>
  <c r="Q50" i="16"/>
  <c r="O50" i="16"/>
  <c r="M50" i="16"/>
  <c r="K50" i="16"/>
  <c r="I50" i="16"/>
  <c r="G50" i="16"/>
  <c r="E50" i="16"/>
  <c r="U44" i="16"/>
  <c r="S44" i="16"/>
  <c r="Q44" i="16"/>
  <c r="O44" i="16"/>
  <c r="M44" i="16"/>
  <c r="K44" i="16"/>
  <c r="I44" i="16"/>
  <c r="G44" i="16"/>
  <c r="E44" i="16"/>
  <c r="U42" i="16"/>
  <c r="S42" i="16"/>
  <c r="Q42" i="16"/>
  <c r="O42" i="16"/>
  <c r="M42" i="16"/>
  <c r="K42" i="16"/>
  <c r="I42" i="16"/>
  <c r="G42" i="16"/>
  <c r="E42" i="16"/>
  <c r="U41" i="16"/>
  <c r="S41" i="16"/>
  <c r="Q41" i="16"/>
  <c r="O41" i="16"/>
  <c r="M41" i="16"/>
  <c r="K41" i="16"/>
  <c r="I41" i="16"/>
  <c r="G41" i="16"/>
  <c r="E41" i="16"/>
  <c r="U40" i="16"/>
  <c r="S40" i="16"/>
  <c r="Q40" i="16"/>
  <c r="O40" i="16"/>
  <c r="M40" i="16"/>
  <c r="K40" i="16"/>
  <c r="I40" i="16"/>
  <c r="G40" i="16"/>
  <c r="E40" i="16"/>
  <c r="U37" i="16"/>
  <c r="S37" i="16"/>
  <c r="Q37" i="16"/>
  <c r="O37" i="16"/>
  <c r="M37" i="16"/>
  <c r="K37" i="16"/>
  <c r="I37" i="16"/>
  <c r="G37" i="16"/>
  <c r="E37" i="16"/>
  <c r="U35" i="16"/>
  <c r="S35" i="16"/>
  <c r="Q35" i="16"/>
  <c r="O35" i="16"/>
  <c r="M35" i="16"/>
  <c r="K35" i="16"/>
  <c r="I35" i="16"/>
  <c r="G35" i="16"/>
  <c r="E35" i="16"/>
  <c r="U34" i="16"/>
  <c r="S34" i="16"/>
  <c r="Q34" i="16"/>
  <c r="O34" i="16"/>
  <c r="M34" i="16"/>
  <c r="K34" i="16"/>
  <c r="I34" i="16"/>
  <c r="G34" i="16"/>
  <c r="E34" i="16"/>
  <c r="U30" i="16"/>
  <c r="S30" i="16"/>
  <c r="Q30" i="16"/>
  <c r="O30" i="16"/>
  <c r="M30" i="16"/>
  <c r="K30" i="16"/>
  <c r="I30" i="16"/>
  <c r="G30" i="16"/>
  <c r="E30" i="16"/>
  <c r="U28" i="16"/>
  <c r="S28" i="16"/>
  <c r="Q28" i="16"/>
  <c r="O28" i="16"/>
  <c r="M28" i="16"/>
  <c r="K28" i="16"/>
  <c r="I28" i="16"/>
  <c r="G28" i="16"/>
  <c r="E28" i="16"/>
  <c r="U27" i="16"/>
  <c r="S27" i="16"/>
  <c r="Q27" i="16"/>
  <c r="O27" i="16"/>
  <c r="M27" i="16"/>
  <c r="K27" i="16"/>
  <c r="I27" i="16"/>
  <c r="G27" i="16"/>
  <c r="E27" i="16"/>
  <c r="U25" i="16"/>
  <c r="S25" i="16"/>
  <c r="Q25" i="16"/>
  <c r="O25" i="16"/>
  <c r="M25" i="16"/>
  <c r="K25" i="16"/>
  <c r="I25" i="16"/>
  <c r="G25" i="16"/>
  <c r="E25" i="16"/>
  <c r="U22" i="16"/>
  <c r="S22" i="16"/>
  <c r="Q22" i="16"/>
  <c r="O22" i="16"/>
  <c r="M22" i="16"/>
  <c r="K22" i="16"/>
  <c r="I22" i="16"/>
  <c r="G22" i="16"/>
  <c r="E22" i="16"/>
  <c r="U19" i="16"/>
  <c r="S19" i="16"/>
  <c r="Q19" i="16"/>
  <c r="O19" i="16"/>
  <c r="M19" i="16"/>
  <c r="K19" i="16"/>
  <c r="I19" i="16"/>
  <c r="G19" i="16"/>
  <c r="E19" i="16"/>
  <c r="U17" i="16"/>
  <c r="S17" i="16"/>
  <c r="Q17" i="16"/>
  <c r="O17" i="16"/>
  <c r="M17" i="16"/>
  <c r="K17" i="16"/>
  <c r="I17" i="16"/>
  <c r="G17" i="16"/>
  <c r="E17" i="16"/>
  <c r="U78" i="16"/>
  <c r="S78" i="16"/>
  <c r="Q78" i="16"/>
  <c r="O78" i="16"/>
  <c r="M78" i="16"/>
  <c r="K78" i="16"/>
  <c r="I78" i="16"/>
  <c r="G78" i="16"/>
  <c r="E78" i="16"/>
  <c r="U77" i="16"/>
  <c r="S77" i="16"/>
  <c r="Q77" i="16"/>
  <c r="O77" i="16"/>
  <c r="M77" i="16"/>
  <c r="K77" i="16"/>
  <c r="I77" i="16"/>
  <c r="G77" i="16"/>
  <c r="E77" i="16"/>
  <c r="U76" i="16"/>
  <c r="S76" i="16"/>
  <c r="Q76" i="16"/>
  <c r="O76" i="16"/>
  <c r="M76" i="16"/>
  <c r="K76" i="16"/>
  <c r="I76" i="16"/>
  <c r="G76" i="16"/>
  <c r="E76" i="16"/>
  <c r="U75" i="16"/>
  <c r="S75" i="16"/>
  <c r="Q75" i="16"/>
  <c r="O75" i="16"/>
  <c r="M75" i="16"/>
  <c r="K75" i="16"/>
  <c r="I75" i="16"/>
  <c r="G75" i="16"/>
  <c r="E75" i="16"/>
  <c r="U74" i="16"/>
  <c r="S74" i="16"/>
  <c r="Q74" i="16"/>
  <c r="O74" i="16"/>
  <c r="M74" i="16"/>
  <c r="K74" i="16"/>
  <c r="I74" i="16"/>
  <c r="G74" i="16"/>
  <c r="E74" i="16"/>
  <c r="U73" i="16"/>
  <c r="S73" i="16"/>
  <c r="Q73" i="16"/>
  <c r="O73" i="16"/>
  <c r="M73" i="16"/>
  <c r="K73" i="16"/>
  <c r="I73" i="16"/>
  <c r="G73" i="16"/>
  <c r="E73" i="16"/>
  <c r="U72" i="16"/>
  <c r="S72" i="16"/>
  <c r="Q72" i="16"/>
  <c r="O72" i="16"/>
  <c r="M72" i="16"/>
  <c r="K72" i="16"/>
  <c r="I72" i="16"/>
  <c r="G72" i="16"/>
  <c r="E72" i="16"/>
  <c r="U71" i="16"/>
  <c r="S71" i="16"/>
  <c r="Q71" i="16"/>
  <c r="O71" i="16"/>
  <c r="M71" i="16"/>
  <c r="K71" i="16"/>
  <c r="I71" i="16"/>
  <c r="G71" i="16"/>
  <c r="E71" i="16"/>
  <c r="U70" i="16"/>
  <c r="S70" i="16"/>
  <c r="Q70" i="16"/>
  <c r="O70" i="16"/>
  <c r="M70" i="16"/>
  <c r="K70" i="16"/>
  <c r="I70" i="16"/>
  <c r="G70" i="16"/>
  <c r="E70" i="16"/>
  <c r="U69" i="16"/>
  <c r="S69" i="16"/>
  <c r="Q69" i="16"/>
  <c r="O69" i="16"/>
  <c r="M69" i="16"/>
  <c r="K69" i="16"/>
  <c r="I69" i="16"/>
  <c r="G69" i="16"/>
  <c r="E69" i="16"/>
  <c r="U68" i="16"/>
  <c r="S68" i="16"/>
  <c r="Q68" i="16"/>
  <c r="O68" i="16"/>
  <c r="M68" i="16"/>
  <c r="K68" i="16"/>
  <c r="I68" i="16"/>
  <c r="G68" i="16"/>
  <c r="E68" i="16"/>
  <c r="U67" i="16"/>
  <c r="S67" i="16"/>
  <c r="Q67" i="16"/>
  <c r="O67" i="16"/>
  <c r="M67" i="16"/>
  <c r="K67" i="16"/>
  <c r="I67" i="16"/>
  <c r="G67" i="16"/>
  <c r="E67" i="16"/>
  <c r="U66" i="16"/>
  <c r="S66" i="16"/>
  <c r="Q66" i="16"/>
  <c r="O66" i="16"/>
  <c r="M66" i="16"/>
  <c r="K66" i="16"/>
  <c r="I66" i="16"/>
  <c r="G66" i="16"/>
  <c r="E66" i="16"/>
  <c r="U65" i="16"/>
  <c r="S65" i="16"/>
  <c r="Q65" i="16"/>
  <c r="O65" i="16"/>
  <c r="M65" i="16"/>
  <c r="K65" i="16"/>
  <c r="I65" i="16"/>
  <c r="G65" i="16"/>
  <c r="E65" i="16"/>
  <c r="U64" i="16"/>
  <c r="S64" i="16"/>
  <c r="Q64" i="16"/>
  <c r="O64" i="16"/>
  <c r="M64" i="16"/>
  <c r="K64" i="16"/>
  <c r="I64" i="16"/>
  <c r="G64" i="16"/>
  <c r="E64" i="16"/>
  <c r="U63" i="16"/>
  <c r="S63" i="16"/>
  <c r="Q63" i="16"/>
  <c r="O63" i="16"/>
  <c r="M63" i="16"/>
  <c r="K63" i="16"/>
  <c r="I63" i="16"/>
  <c r="G63" i="16"/>
  <c r="E63" i="16"/>
  <c r="U62" i="16"/>
  <c r="S62" i="16"/>
  <c r="Q62" i="16"/>
  <c r="O62" i="16"/>
  <c r="M62" i="16"/>
  <c r="K62" i="16"/>
  <c r="I62" i="16"/>
  <c r="G62" i="16"/>
  <c r="E62" i="16"/>
  <c r="U61" i="16"/>
  <c r="S61" i="16"/>
  <c r="Q61" i="16"/>
  <c r="O61" i="16"/>
  <c r="M61" i="16"/>
  <c r="K61" i="16"/>
  <c r="I61" i="16"/>
  <c r="G61" i="16"/>
  <c r="E61" i="16"/>
  <c r="U60" i="16"/>
  <c r="S60" i="16"/>
  <c r="Q60" i="16"/>
  <c r="O60" i="16"/>
  <c r="M60" i="16"/>
  <c r="K60" i="16"/>
  <c r="I60" i="16"/>
  <c r="G60" i="16"/>
  <c r="E60" i="16"/>
  <c r="U59" i="16"/>
  <c r="S59" i="16"/>
  <c r="Q59" i="16"/>
  <c r="O59" i="16"/>
  <c r="M59" i="16"/>
  <c r="K59" i="16"/>
  <c r="I59" i="16"/>
  <c r="G59" i="16"/>
  <c r="E59" i="16"/>
  <c r="U58" i="16"/>
  <c r="S58" i="16"/>
  <c r="Q58" i="16"/>
  <c r="O58" i="16"/>
  <c r="M58" i="16"/>
  <c r="K58" i="16"/>
  <c r="I58" i="16"/>
  <c r="G58" i="16"/>
  <c r="E58" i="16"/>
  <c r="U55" i="16"/>
  <c r="S55" i="16"/>
  <c r="Q55" i="16"/>
  <c r="O55" i="16"/>
  <c r="M55" i="16"/>
  <c r="K55" i="16"/>
  <c r="I55" i="16"/>
  <c r="G55" i="16"/>
  <c r="E55" i="16"/>
  <c r="U54" i="16"/>
  <c r="S54" i="16"/>
  <c r="Q54" i="16"/>
  <c r="O54" i="16"/>
  <c r="M54" i="16"/>
  <c r="K54" i="16"/>
  <c r="I54" i="16"/>
  <c r="G54" i="16"/>
  <c r="E54" i="16"/>
  <c r="U53" i="16"/>
  <c r="S53" i="16"/>
  <c r="Q53" i="16"/>
  <c r="O53" i="16"/>
  <c r="M53" i="16"/>
  <c r="K53" i="16"/>
  <c r="I53" i="16"/>
  <c r="G53" i="16"/>
  <c r="E53" i="16"/>
  <c r="U52" i="16"/>
  <c r="S52" i="16"/>
  <c r="Q52" i="16"/>
  <c r="O52" i="16"/>
  <c r="M52" i="16"/>
  <c r="K52" i="16"/>
  <c r="I52" i="16"/>
  <c r="G52" i="16"/>
  <c r="E52" i="16"/>
  <c r="U49" i="16"/>
  <c r="S49" i="16"/>
  <c r="Q49" i="16"/>
  <c r="O49" i="16"/>
  <c r="M49" i="16"/>
  <c r="K49" i="16"/>
  <c r="I49" i="16"/>
  <c r="G49" i="16"/>
  <c r="E49" i="16"/>
  <c r="U48" i="16"/>
  <c r="S48" i="16"/>
  <c r="Q48" i="16"/>
  <c r="O48" i="16"/>
  <c r="M48" i="16"/>
  <c r="K48" i="16"/>
  <c r="I48" i="16"/>
  <c r="G48" i="16"/>
  <c r="E48" i="16"/>
  <c r="U47" i="16"/>
  <c r="S47" i="16"/>
  <c r="Q47" i="16"/>
  <c r="O47" i="16"/>
  <c r="M47" i="16"/>
  <c r="K47" i="16"/>
  <c r="I47" i="16"/>
  <c r="G47" i="16"/>
  <c r="E47" i="16"/>
  <c r="U46" i="16"/>
  <c r="S46" i="16"/>
  <c r="Q46" i="16"/>
  <c r="O46" i="16"/>
  <c r="M46" i="16"/>
  <c r="K46" i="16"/>
  <c r="I46" i="16"/>
  <c r="G46" i="16"/>
  <c r="E46" i="16"/>
  <c r="U45" i="16"/>
  <c r="S45" i="16"/>
  <c r="Q45" i="16"/>
  <c r="O45" i="16"/>
  <c r="M45" i="16"/>
  <c r="K45" i="16"/>
  <c r="I45" i="16"/>
  <c r="G45" i="16"/>
  <c r="E45" i="16"/>
  <c r="U43" i="16"/>
  <c r="S43" i="16"/>
  <c r="Q43" i="16"/>
  <c r="O43" i="16"/>
  <c r="M43" i="16"/>
  <c r="K43" i="16"/>
  <c r="I43" i="16"/>
  <c r="G43" i="16"/>
  <c r="E43" i="16"/>
  <c r="U39" i="16"/>
  <c r="S39" i="16"/>
  <c r="Q39" i="16"/>
  <c r="O39" i="16"/>
  <c r="M39" i="16"/>
  <c r="K39" i="16"/>
  <c r="I39" i="16"/>
  <c r="G39" i="16"/>
  <c r="E39" i="16"/>
  <c r="U38" i="16"/>
  <c r="S38" i="16"/>
  <c r="Q38" i="16"/>
  <c r="O38" i="16"/>
  <c r="M38" i="16"/>
  <c r="K38" i="16"/>
  <c r="I38" i="16"/>
  <c r="G38" i="16"/>
  <c r="E38" i="16"/>
  <c r="U36" i="16"/>
  <c r="S36" i="16"/>
  <c r="Q36" i="16"/>
  <c r="O36" i="16"/>
  <c r="M36" i="16"/>
  <c r="K36" i="16"/>
  <c r="I36" i="16"/>
  <c r="G36" i="16"/>
  <c r="E36" i="16"/>
  <c r="U33" i="16"/>
  <c r="S33" i="16"/>
  <c r="Q33" i="16"/>
  <c r="O33" i="16"/>
  <c r="M33" i="16"/>
  <c r="K33" i="16"/>
  <c r="I33" i="16"/>
  <c r="G33" i="16"/>
  <c r="E33" i="16"/>
  <c r="U32" i="16"/>
  <c r="S32" i="16"/>
  <c r="Q32" i="16"/>
  <c r="O32" i="16"/>
  <c r="M32" i="16"/>
  <c r="K32" i="16"/>
  <c r="I32" i="16"/>
  <c r="G32" i="16"/>
  <c r="E32" i="16"/>
  <c r="U31" i="16"/>
  <c r="S31" i="16"/>
  <c r="Q31" i="16"/>
  <c r="O31" i="16"/>
  <c r="M31" i="16"/>
  <c r="K31" i="16"/>
  <c r="I31" i="16"/>
  <c r="G31" i="16"/>
  <c r="E31" i="16"/>
  <c r="U29" i="16"/>
  <c r="S29" i="16"/>
  <c r="Q29" i="16"/>
  <c r="O29" i="16"/>
  <c r="M29" i="16"/>
  <c r="K29" i="16"/>
  <c r="I29" i="16"/>
  <c r="G29" i="16"/>
  <c r="E29" i="16"/>
  <c r="U26" i="16"/>
  <c r="S26" i="16"/>
  <c r="Q26" i="16"/>
  <c r="O26" i="16"/>
  <c r="M26" i="16"/>
  <c r="K26" i="16"/>
  <c r="I26" i="16"/>
  <c r="G26" i="16"/>
  <c r="E26" i="16"/>
  <c r="U24" i="16"/>
  <c r="S24" i="16"/>
  <c r="Q24" i="16"/>
  <c r="O24" i="16"/>
  <c r="M24" i="16"/>
  <c r="K24" i="16"/>
  <c r="I24" i="16"/>
  <c r="G24" i="16"/>
  <c r="E24" i="16"/>
  <c r="U23" i="16"/>
  <c r="S23" i="16"/>
  <c r="Q23" i="16"/>
  <c r="O23" i="16"/>
  <c r="M23" i="16"/>
  <c r="K23" i="16"/>
  <c r="I23" i="16"/>
  <c r="G23" i="16"/>
  <c r="E23" i="16"/>
  <c r="U21" i="16"/>
  <c r="S21" i="16"/>
  <c r="Q21" i="16"/>
  <c r="O21" i="16"/>
  <c r="M21" i="16"/>
  <c r="K21" i="16"/>
  <c r="I21" i="16"/>
  <c r="G21" i="16"/>
  <c r="E21" i="16"/>
  <c r="U20" i="16"/>
  <c r="S20" i="16"/>
  <c r="Q20" i="16"/>
  <c r="O20" i="16"/>
  <c r="M20" i="16"/>
  <c r="K20" i="16"/>
  <c r="I20" i="16"/>
  <c r="G20" i="16"/>
  <c r="E20" i="16"/>
  <c r="U18" i="16"/>
  <c r="S18" i="16"/>
  <c r="Q18" i="16"/>
  <c r="O18" i="16"/>
  <c r="M18" i="16"/>
  <c r="K18" i="16"/>
  <c r="I18" i="16"/>
  <c r="G18" i="16"/>
  <c r="E18" i="16"/>
  <c r="U16" i="16"/>
  <c r="S16" i="16"/>
  <c r="Q16" i="16"/>
  <c r="O16" i="16"/>
  <c r="M16" i="16"/>
  <c r="K16" i="16"/>
  <c r="I16" i="16"/>
  <c r="G16" i="16"/>
  <c r="E16" i="16"/>
  <c r="U15" i="16"/>
  <c r="S15" i="16"/>
  <c r="Q15" i="16"/>
  <c r="O15" i="16"/>
  <c r="M15" i="16"/>
  <c r="K15" i="16"/>
  <c r="I15" i="16"/>
  <c r="G15" i="16"/>
  <c r="E15" i="16"/>
  <c r="U14" i="16"/>
  <c r="S14" i="16"/>
  <c r="Q14" i="16"/>
  <c r="O14" i="16"/>
  <c r="M14" i="16"/>
  <c r="K14" i="16"/>
  <c r="I14" i="16"/>
  <c r="G14" i="16"/>
  <c r="E14" i="16"/>
  <c r="U13" i="16"/>
  <c r="S13" i="16"/>
  <c r="Q13" i="16"/>
  <c r="O13" i="16"/>
  <c r="M13" i="16"/>
  <c r="K13" i="16"/>
  <c r="I13" i="16"/>
  <c r="G13" i="16"/>
  <c r="E13" i="16"/>
  <c r="U12" i="16"/>
  <c r="S12" i="16"/>
  <c r="Q12" i="16"/>
  <c r="O12" i="16"/>
  <c r="M12" i="16"/>
  <c r="K12" i="16"/>
  <c r="I12" i="16"/>
  <c r="G12" i="16"/>
  <c r="E12" i="16"/>
  <c r="U11" i="16"/>
  <c r="S11" i="16"/>
  <c r="Q11" i="16"/>
  <c r="O11" i="16"/>
  <c r="M11" i="16"/>
  <c r="K11" i="16"/>
  <c r="I11" i="16"/>
  <c r="G11" i="16"/>
  <c r="E11" i="16"/>
  <c r="U10" i="16"/>
  <c r="S10" i="16"/>
  <c r="Q10" i="16"/>
  <c r="O10" i="16"/>
  <c r="M10" i="16"/>
  <c r="K10" i="16"/>
  <c r="I10" i="16"/>
  <c r="G10" i="16"/>
  <c r="E10" i="16"/>
  <c r="U9" i="16"/>
  <c r="S9" i="16"/>
  <c r="Q9" i="16"/>
  <c r="O9" i="16"/>
  <c r="M9" i="16"/>
  <c r="K9" i="16"/>
  <c r="I9" i="16"/>
  <c r="G9" i="16"/>
  <c r="E9" i="16"/>
  <c r="U8" i="16"/>
  <c r="S8" i="16"/>
  <c r="Q8" i="16"/>
  <c r="O8" i="16"/>
  <c r="M8" i="16"/>
  <c r="K8" i="16"/>
  <c r="I8" i="16"/>
  <c r="G8" i="16"/>
  <c r="E8" i="16"/>
  <c r="BZ279" i="5"/>
  <c r="BX358" i="5"/>
  <c r="BV358" i="5"/>
  <c r="BT358" i="5"/>
  <c r="BR358" i="5"/>
  <c r="BP358" i="5"/>
  <c r="BN358" i="5"/>
  <c r="BL358" i="5"/>
  <c r="BJ358" i="5"/>
  <c r="BH358" i="5"/>
  <c r="BX357" i="5"/>
  <c r="BV357" i="5"/>
  <c r="BT357" i="5"/>
  <c r="BR357" i="5"/>
  <c r="BP357" i="5"/>
  <c r="BN357" i="5"/>
  <c r="BL357" i="5"/>
  <c r="BJ357" i="5"/>
  <c r="BH357" i="5"/>
  <c r="BX356" i="5"/>
  <c r="BV356" i="5"/>
  <c r="BT356" i="5"/>
  <c r="BR356" i="5"/>
  <c r="BP356" i="5"/>
  <c r="BN356" i="5"/>
  <c r="BL356" i="5"/>
  <c r="BJ356" i="5"/>
  <c r="BH356" i="5"/>
  <c r="BX355" i="5"/>
  <c r="BV355" i="5"/>
  <c r="BT355" i="5"/>
  <c r="BR355" i="5"/>
  <c r="BP355" i="5"/>
  <c r="BN355" i="5"/>
  <c r="BL355" i="5"/>
  <c r="BJ355" i="5"/>
  <c r="BH355" i="5"/>
  <c r="BX354" i="5"/>
  <c r="BV354" i="5"/>
  <c r="BT354" i="5"/>
  <c r="BR354" i="5"/>
  <c r="BP354" i="5"/>
  <c r="BN354" i="5"/>
  <c r="BL354" i="5"/>
  <c r="BJ354" i="5"/>
  <c r="BH354" i="5"/>
  <c r="BX353" i="5"/>
  <c r="BV353" i="5"/>
  <c r="BT353" i="5"/>
  <c r="BR353" i="5"/>
  <c r="BP353" i="5"/>
  <c r="BN353" i="5"/>
  <c r="BL353" i="5"/>
  <c r="BJ353" i="5"/>
  <c r="BH353" i="5"/>
  <c r="BX352" i="5"/>
  <c r="BV352" i="5"/>
  <c r="BT352" i="5"/>
  <c r="BR352" i="5"/>
  <c r="BP352" i="5"/>
  <c r="BN352" i="5"/>
  <c r="BL352" i="5"/>
  <c r="BJ352" i="5"/>
  <c r="BH352" i="5"/>
  <c r="BX351" i="5"/>
  <c r="BV351" i="5"/>
  <c r="BT351" i="5"/>
  <c r="BR351" i="5"/>
  <c r="BP351" i="5"/>
  <c r="BN351" i="5"/>
  <c r="BL351" i="5"/>
  <c r="BJ351" i="5"/>
  <c r="BH351" i="5"/>
  <c r="BX350" i="5"/>
  <c r="BV350" i="5"/>
  <c r="BT350" i="5"/>
  <c r="BR350" i="5"/>
  <c r="BP350" i="5"/>
  <c r="BN350" i="5"/>
  <c r="BL350" i="5"/>
  <c r="BJ350" i="5"/>
  <c r="BH350" i="5"/>
  <c r="BX349" i="5"/>
  <c r="BV349" i="5"/>
  <c r="BT349" i="5"/>
  <c r="BR349" i="5"/>
  <c r="BP349" i="5"/>
  <c r="BN349" i="5"/>
  <c r="BL349" i="5"/>
  <c r="BJ349" i="5"/>
  <c r="BH349" i="5"/>
  <c r="BX348" i="5"/>
  <c r="BV348" i="5"/>
  <c r="BT348" i="5"/>
  <c r="BR348" i="5"/>
  <c r="BP348" i="5"/>
  <c r="BN348" i="5"/>
  <c r="BL348" i="5"/>
  <c r="BJ348" i="5"/>
  <c r="BH348" i="5"/>
  <c r="BX347" i="5"/>
  <c r="BV347" i="5"/>
  <c r="BT347" i="5"/>
  <c r="BR347" i="5"/>
  <c r="BP347" i="5"/>
  <c r="BN347" i="5"/>
  <c r="BL347" i="5"/>
  <c r="BJ347" i="5"/>
  <c r="BH347" i="5"/>
  <c r="BX346" i="5"/>
  <c r="BV346" i="5"/>
  <c r="BT346" i="5"/>
  <c r="BR346" i="5"/>
  <c r="BP346" i="5"/>
  <c r="BN346" i="5"/>
  <c r="BL346" i="5"/>
  <c r="BJ346" i="5"/>
  <c r="BH346" i="5"/>
  <c r="BX345" i="5"/>
  <c r="BV345" i="5"/>
  <c r="BT345" i="5"/>
  <c r="BR345" i="5"/>
  <c r="BP345" i="5"/>
  <c r="BN345" i="5"/>
  <c r="BL345" i="5"/>
  <c r="BJ345" i="5"/>
  <c r="BH345" i="5"/>
  <c r="BX344" i="5"/>
  <c r="BV344" i="5"/>
  <c r="BT344" i="5"/>
  <c r="BR344" i="5"/>
  <c r="BP344" i="5"/>
  <c r="BN344" i="5"/>
  <c r="BL344" i="5"/>
  <c r="BJ344" i="5"/>
  <c r="BH344" i="5"/>
  <c r="BX343" i="5"/>
  <c r="BV343" i="5"/>
  <c r="BT343" i="5"/>
  <c r="BR343" i="5"/>
  <c r="BP343" i="5"/>
  <c r="BN343" i="5"/>
  <c r="BL343" i="5"/>
  <c r="BJ343" i="5"/>
  <c r="BH343" i="5"/>
  <c r="BX342" i="5"/>
  <c r="BV342" i="5"/>
  <c r="BT342" i="5"/>
  <c r="BR342" i="5"/>
  <c r="BP342" i="5"/>
  <c r="BN342" i="5"/>
  <c r="BL342" i="5"/>
  <c r="BJ342" i="5"/>
  <c r="BH342" i="5"/>
  <c r="BX341" i="5"/>
  <c r="BV341" i="5"/>
  <c r="BT341" i="5"/>
  <c r="BR341" i="5"/>
  <c r="BP341" i="5"/>
  <c r="BN341" i="5"/>
  <c r="BL341" i="5"/>
  <c r="BJ341" i="5"/>
  <c r="BH341" i="5"/>
  <c r="BX340" i="5"/>
  <c r="BV340" i="5"/>
  <c r="BT340" i="5"/>
  <c r="BR340" i="5"/>
  <c r="BP340" i="5"/>
  <c r="BN340" i="5"/>
  <c r="BL340" i="5"/>
  <c r="BJ340" i="5"/>
  <c r="BH340" i="5"/>
  <c r="BX339" i="5"/>
  <c r="BV339" i="5"/>
  <c r="BT339" i="5"/>
  <c r="BR339" i="5"/>
  <c r="BP339" i="5"/>
  <c r="BN339" i="5"/>
  <c r="BL339" i="5"/>
  <c r="BJ339" i="5"/>
  <c r="BH339" i="5"/>
  <c r="BX338" i="5"/>
  <c r="BV338" i="5"/>
  <c r="BT338" i="5"/>
  <c r="BR338" i="5"/>
  <c r="BP338" i="5"/>
  <c r="BN338" i="5"/>
  <c r="BL338" i="5"/>
  <c r="BJ338" i="5"/>
  <c r="BH338" i="5"/>
  <c r="BX337" i="5"/>
  <c r="BV337" i="5"/>
  <c r="BT337" i="5"/>
  <c r="BR337" i="5"/>
  <c r="BP337" i="5"/>
  <c r="BN337" i="5"/>
  <c r="BL337" i="5"/>
  <c r="BJ337" i="5"/>
  <c r="BH337" i="5"/>
  <c r="BX336" i="5"/>
  <c r="BV336" i="5"/>
  <c r="BT336" i="5"/>
  <c r="BR336" i="5"/>
  <c r="BP336" i="5"/>
  <c r="BN336" i="5"/>
  <c r="BL336" i="5"/>
  <c r="BJ336" i="5"/>
  <c r="BH336" i="5"/>
  <c r="BX335" i="5"/>
  <c r="BV335" i="5"/>
  <c r="BT335" i="5"/>
  <c r="BR335" i="5"/>
  <c r="BP335" i="5"/>
  <c r="BN335" i="5"/>
  <c r="BL335" i="5"/>
  <c r="BJ335" i="5"/>
  <c r="BH335" i="5"/>
  <c r="BX334" i="5"/>
  <c r="BV334" i="5"/>
  <c r="BT334" i="5"/>
  <c r="BR334" i="5"/>
  <c r="BP334" i="5"/>
  <c r="BN334" i="5"/>
  <c r="BL334" i="5"/>
  <c r="BJ334" i="5"/>
  <c r="BH334" i="5"/>
  <c r="BX333" i="5"/>
  <c r="BV333" i="5"/>
  <c r="BT333" i="5"/>
  <c r="BR333" i="5"/>
  <c r="BP333" i="5"/>
  <c r="BN333" i="5"/>
  <c r="BL333" i="5"/>
  <c r="BJ333" i="5"/>
  <c r="BH333" i="5"/>
  <c r="BX332" i="5"/>
  <c r="BV332" i="5"/>
  <c r="BT332" i="5"/>
  <c r="BR332" i="5"/>
  <c r="BP332" i="5"/>
  <c r="BN332" i="5"/>
  <c r="BL332" i="5"/>
  <c r="BJ332" i="5"/>
  <c r="BH332" i="5"/>
  <c r="BX331" i="5"/>
  <c r="BV331" i="5"/>
  <c r="BT331" i="5"/>
  <c r="BR331" i="5"/>
  <c r="BP331" i="5"/>
  <c r="BN331" i="5"/>
  <c r="BL331" i="5"/>
  <c r="BJ331" i="5"/>
  <c r="BH331" i="5"/>
  <c r="BX330" i="5"/>
  <c r="BV330" i="5"/>
  <c r="BT330" i="5"/>
  <c r="BR330" i="5"/>
  <c r="BP330" i="5"/>
  <c r="BN330" i="5"/>
  <c r="BL330" i="5"/>
  <c r="BJ330" i="5"/>
  <c r="BH330" i="5"/>
  <c r="BX329" i="5"/>
  <c r="BV329" i="5"/>
  <c r="BT329" i="5"/>
  <c r="BR329" i="5"/>
  <c r="BP329" i="5"/>
  <c r="BN329" i="5"/>
  <c r="BL329" i="5"/>
  <c r="BJ329" i="5"/>
  <c r="BH329" i="5"/>
  <c r="BX328" i="5"/>
  <c r="BV328" i="5"/>
  <c r="BT328" i="5"/>
  <c r="BR328" i="5"/>
  <c r="BP328" i="5"/>
  <c r="BN328" i="5"/>
  <c r="BL328" i="5"/>
  <c r="BJ328" i="5"/>
  <c r="BH328" i="5"/>
  <c r="BX327" i="5"/>
  <c r="BV327" i="5"/>
  <c r="BT327" i="5"/>
  <c r="BR327" i="5"/>
  <c r="BP327" i="5"/>
  <c r="BN327" i="5"/>
  <c r="BL327" i="5"/>
  <c r="BJ327" i="5"/>
  <c r="BH327" i="5"/>
  <c r="BX326" i="5"/>
  <c r="BV326" i="5"/>
  <c r="BT326" i="5"/>
  <c r="BR326" i="5"/>
  <c r="BP326" i="5"/>
  <c r="BN326" i="5"/>
  <c r="BL326" i="5"/>
  <c r="BJ326" i="5"/>
  <c r="BH326" i="5"/>
  <c r="BX325" i="5"/>
  <c r="BV325" i="5"/>
  <c r="BT325" i="5"/>
  <c r="BR325" i="5"/>
  <c r="BP325" i="5"/>
  <c r="BN325" i="5"/>
  <c r="BL325" i="5"/>
  <c r="BJ325" i="5"/>
  <c r="BH325" i="5"/>
  <c r="BX324" i="5"/>
  <c r="BV324" i="5"/>
  <c r="BT324" i="5"/>
  <c r="BR324" i="5"/>
  <c r="BP324" i="5"/>
  <c r="BN324" i="5"/>
  <c r="BL324" i="5"/>
  <c r="BJ324" i="5"/>
  <c r="BH324" i="5"/>
  <c r="BX323" i="5"/>
  <c r="BV323" i="5"/>
  <c r="BT323" i="5"/>
  <c r="BR323" i="5"/>
  <c r="BP323" i="5"/>
  <c r="BN323" i="5"/>
  <c r="BL323" i="5"/>
  <c r="BJ323" i="5"/>
  <c r="BH323" i="5"/>
  <c r="BX322" i="5"/>
  <c r="BV322" i="5"/>
  <c r="BT322" i="5"/>
  <c r="BR322" i="5"/>
  <c r="BP322" i="5"/>
  <c r="BN322" i="5"/>
  <c r="BL322" i="5"/>
  <c r="BJ322" i="5"/>
  <c r="BH322" i="5"/>
  <c r="BX321" i="5"/>
  <c r="BV321" i="5"/>
  <c r="BT321" i="5"/>
  <c r="BR321" i="5"/>
  <c r="BP321" i="5"/>
  <c r="BN321" i="5"/>
  <c r="BL321" i="5"/>
  <c r="BJ321" i="5"/>
  <c r="BH321" i="5"/>
  <c r="BX320" i="5"/>
  <c r="BV320" i="5"/>
  <c r="BT320" i="5"/>
  <c r="BR320" i="5"/>
  <c r="BP320" i="5"/>
  <c r="BN320" i="5"/>
  <c r="BL320" i="5"/>
  <c r="BJ320" i="5"/>
  <c r="BH320" i="5"/>
  <c r="BX319" i="5"/>
  <c r="BV319" i="5"/>
  <c r="BT319" i="5"/>
  <c r="BR319" i="5"/>
  <c r="BP319" i="5"/>
  <c r="BN319" i="5"/>
  <c r="BL319" i="5"/>
  <c r="BJ319" i="5"/>
  <c r="BH319" i="5"/>
  <c r="BX318" i="5"/>
  <c r="BV318" i="5"/>
  <c r="BT318" i="5"/>
  <c r="BR318" i="5"/>
  <c r="BP318" i="5"/>
  <c r="BN318" i="5"/>
  <c r="BL318" i="5"/>
  <c r="BJ318" i="5"/>
  <c r="BH318" i="5"/>
  <c r="BX317" i="5"/>
  <c r="BV317" i="5"/>
  <c r="BT317" i="5"/>
  <c r="BR317" i="5"/>
  <c r="BP317" i="5"/>
  <c r="BN317" i="5"/>
  <c r="BL317" i="5"/>
  <c r="BJ317" i="5"/>
  <c r="BH317" i="5"/>
  <c r="BX316" i="5"/>
  <c r="BV316" i="5"/>
  <c r="BT316" i="5"/>
  <c r="BR316" i="5"/>
  <c r="BP316" i="5"/>
  <c r="BN316" i="5"/>
  <c r="BL316" i="5"/>
  <c r="BJ316" i="5"/>
  <c r="BH316" i="5"/>
  <c r="BX315" i="5"/>
  <c r="BV315" i="5"/>
  <c r="BT315" i="5"/>
  <c r="BR315" i="5"/>
  <c r="BP315" i="5"/>
  <c r="BN315" i="5"/>
  <c r="BL315" i="5"/>
  <c r="BJ315" i="5"/>
  <c r="BH315" i="5"/>
  <c r="BX314" i="5"/>
  <c r="BV314" i="5"/>
  <c r="BT314" i="5"/>
  <c r="BR314" i="5"/>
  <c r="BP314" i="5"/>
  <c r="BN314" i="5"/>
  <c r="BL314" i="5"/>
  <c r="BJ314" i="5"/>
  <c r="BH314" i="5"/>
  <c r="BX313" i="5"/>
  <c r="BV313" i="5"/>
  <c r="BT313" i="5"/>
  <c r="BR313" i="5"/>
  <c r="BP313" i="5"/>
  <c r="BN313" i="5"/>
  <c r="BL313" i="5"/>
  <c r="BJ313" i="5"/>
  <c r="BH313" i="5"/>
  <c r="BX312" i="5"/>
  <c r="BV312" i="5"/>
  <c r="BT312" i="5"/>
  <c r="BR312" i="5"/>
  <c r="BP312" i="5"/>
  <c r="BN312" i="5"/>
  <c r="BL312" i="5"/>
  <c r="BJ312" i="5"/>
  <c r="BH312" i="5"/>
  <c r="BX311" i="5"/>
  <c r="BV311" i="5"/>
  <c r="BT311" i="5"/>
  <c r="BR311" i="5"/>
  <c r="BP311" i="5"/>
  <c r="BN311" i="5"/>
  <c r="BL311" i="5"/>
  <c r="BJ311" i="5"/>
  <c r="BH311" i="5"/>
  <c r="BX310" i="5"/>
  <c r="BV310" i="5"/>
  <c r="BT310" i="5"/>
  <c r="BR310" i="5"/>
  <c r="BP310" i="5"/>
  <c r="BN310" i="5"/>
  <c r="BL310" i="5"/>
  <c r="BJ310" i="5"/>
  <c r="BH310" i="5"/>
  <c r="BX309" i="5"/>
  <c r="BV309" i="5"/>
  <c r="BT309" i="5"/>
  <c r="BR309" i="5"/>
  <c r="BP309" i="5"/>
  <c r="BN309" i="5"/>
  <c r="BL309" i="5"/>
  <c r="BJ309" i="5"/>
  <c r="BH309" i="5"/>
  <c r="BX308" i="5"/>
  <c r="BV308" i="5"/>
  <c r="BT308" i="5"/>
  <c r="BR308" i="5"/>
  <c r="BP308" i="5"/>
  <c r="BN308" i="5"/>
  <c r="BL308" i="5"/>
  <c r="BJ308" i="5"/>
  <c r="BH308" i="5"/>
  <c r="BX307" i="5"/>
  <c r="BV307" i="5"/>
  <c r="BT307" i="5"/>
  <c r="BR307" i="5"/>
  <c r="BP307" i="5"/>
  <c r="BN307" i="5"/>
  <c r="BL307" i="5"/>
  <c r="BJ307" i="5"/>
  <c r="BH307" i="5"/>
  <c r="BX306" i="5"/>
  <c r="BV306" i="5"/>
  <c r="BT306" i="5"/>
  <c r="BR306" i="5"/>
  <c r="BP306" i="5"/>
  <c r="BN306" i="5"/>
  <c r="BL306" i="5"/>
  <c r="BJ306" i="5"/>
  <c r="BH306" i="5"/>
  <c r="BX305" i="5"/>
  <c r="BV305" i="5"/>
  <c r="BT305" i="5"/>
  <c r="BR305" i="5"/>
  <c r="BP305" i="5"/>
  <c r="BN305" i="5"/>
  <c r="BL305" i="5"/>
  <c r="BJ305" i="5"/>
  <c r="BH305" i="5"/>
  <c r="BX304" i="5"/>
  <c r="BV304" i="5"/>
  <c r="BT304" i="5"/>
  <c r="BR304" i="5"/>
  <c r="BP304" i="5"/>
  <c r="BN304" i="5"/>
  <c r="BL304" i="5"/>
  <c r="BJ304" i="5"/>
  <c r="BH304" i="5"/>
  <c r="BX303" i="5"/>
  <c r="BV303" i="5"/>
  <c r="BT303" i="5"/>
  <c r="BR303" i="5"/>
  <c r="BP303" i="5"/>
  <c r="BN303" i="5"/>
  <c r="BL303" i="5"/>
  <c r="BJ303" i="5"/>
  <c r="BH303" i="5"/>
  <c r="BX302" i="5"/>
  <c r="BV302" i="5"/>
  <c r="BT302" i="5"/>
  <c r="BR302" i="5"/>
  <c r="BP302" i="5"/>
  <c r="BN302" i="5"/>
  <c r="BL302" i="5"/>
  <c r="BJ302" i="5"/>
  <c r="BI302" i="5"/>
  <c r="BH302" i="5"/>
  <c r="BX301" i="5"/>
  <c r="BV301" i="5"/>
  <c r="BT301" i="5"/>
  <c r="BR301" i="5"/>
  <c r="BP301" i="5"/>
  <c r="BN301" i="5"/>
  <c r="BL301" i="5"/>
  <c r="BJ301" i="5"/>
  <c r="BH301" i="5"/>
  <c r="BX300" i="5"/>
  <c r="BV300" i="5"/>
  <c r="BT300" i="5"/>
  <c r="BR300" i="5"/>
  <c r="BP300" i="5"/>
  <c r="BN300" i="5"/>
  <c r="BL300" i="5"/>
  <c r="BJ300" i="5"/>
  <c r="BH300" i="5"/>
  <c r="BX299" i="5"/>
  <c r="BV299" i="5"/>
  <c r="BT299" i="5"/>
  <c r="BR299" i="5"/>
  <c r="BP299" i="5"/>
  <c r="BN299" i="5"/>
  <c r="BL299" i="5"/>
  <c r="BJ299" i="5"/>
  <c r="BH299" i="5"/>
  <c r="BX298" i="5"/>
  <c r="BV298" i="5"/>
  <c r="BT298" i="5"/>
  <c r="BR298" i="5"/>
  <c r="BP298" i="5"/>
  <c r="BN298" i="5"/>
  <c r="BL298" i="5"/>
  <c r="BJ298" i="5"/>
  <c r="BH298" i="5"/>
  <c r="BX297" i="5"/>
  <c r="BV297" i="5"/>
  <c r="BT297" i="5"/>
  <c r="BR297" i="5"/>
  <c r="BP297" i="5"/>
  <c r="BN297" i="5"/>
  <c r="BL297" i="5"/>
  <c r="BJ297" i="5"/>
  <c r="BH297" i="5"/>
  <c r="BX296" i="5"/>
  <c r="BV296" i="5"/>
  <c r="BT296" i="5"/>
  <c r="BR296" i="5"/>
  <c r="BP296" i="5"/>
  <c r="BN296" i="5"/>
  <c r="BL296" i="5"/>
  <c r="BJ296" i="5"/>
  <c r="BH296" i="5"/>
  <c r="BX295" i="5"/>
  <c r="BV295" i="5"/>
  <c r="BT295" i="5"/>
  <c r="BR295" i="5"/>
  <c r="BP295" i="5"/>
  <c r="BN295" i="5"/>
  <c r="BL295" i="5"/>
  <c r="BJ295" i="5"/>
  <c r="BH295" i="5"/>
  <c r="BX294" i="5"/>
  <c r="BV294" i="5"/>
  <c r="BT294" i="5"/>
  <c r="BR294" i="5"/>
  <c r="BP294" i="5"/>
  <c r="BN294" i="5"/>
  <c r="BL294" i="5"/>
  <c r="BJ294" i="5"/>
  <c r="BH294" i="5"/>
  <c r="BX293" i="5"/>
  <c r="BV293" i="5"/>
  <c r="BT293" i="5"/>
  <c r="BR293" i="5"/>
  <c r="BP293" i="5"/>
  <c r="BN293" i="5"/>
  <c r="BL293" i="5"/>
  <c r="BJ293" i="5"/>
  <c r="BH293" i="5"/>
  <c r="BX292" i="5"/>
  <c r="BV292" i="5"/>
  <c r="BT292" i="5"/>
  <c r="BR292" i="5"/>
  <c r="BP292" i="5"/>
  <c r="BN292" i="5"/>
  <c r="BL292" i="5"/>
  <c r="BJ292" i="5"/>
  <c r="BH292" i="5"/>
  <c r="BX291" i="5"/>
  <c r="BV291" i="5"/>
  <c r="BT291" i="5"/>
  <c r="BR291" i="5"/>
  <c r="BP291" i="5"/>
  <c r="BN291" i="5"/>
  <c r="BL291" i="5"/>
  <c r="BJ291" i="5"/>
  <c r="BH291" i="5"/>
  <c r="BX290" i="5"/>
  <c r="BV290" i="5"/>
  <c r="BT290" i="5"/>
  <c r="BR290" i="5"/>
  <c r="BP290" i="5"/>
  <c r="BN290" i="5"/>
  <c r="BL290" i="5"/>
  <c r="BJ290" i="5"/>
  <c r="BH290" i="5"/>
  <c r="BX289" i="5"/>
  <c r="BV289" i="5"/>
  <c r="BT289" i="5"/>
  <c r="BR289" i="5"/>
  <c r="BP289" i="5"/>
  <c r="BN289" i="5"/>
  <c r="BL289" i="5"/>
  <c r="BJ289" i="5"/>
  <c r="BH289" i="5"/>
  <c r="BX288" i="5"/>
  <c r="BV288" i="5"/>
  <c r="BT288" i="5"/>
  <c r="BR288" i="5"/>
  <c r="BP288" i="5"/>
  <c r="BN288" i="5"/>
  <c r="BL288" i="5"/>
  <c r="BJ288" i="5"/>
  <c r="BH288" i="5"/>
  <c r="AN288" i="5"/>
  <c r="C242" i="5"/>
  <c r="AC352" i="5"/>
  <c r="AC338" i="5"/>
  <c r="AC326" i="5"/>
  <c r="AC288" i="5"/>
  <c r="AC312" i="5"/>
  <c r="AC310" i="5"/>
  <c r="R125" i="5"/>
  <c r="F111" i="5"/>
  <c r="R126" i="5"/>
  <c r="R129" i="5" s="1"/>
  <c r="P129" i="5" s="1"/>
  <c r="R124" i="5"/>
  <c r="D98" i="5"/>
  <c r="BE296" i="5"/>
  <c r="BC296" i="5"/>
  <c r="AW296" i="5"/>
  <c r="AU296" i="5"/>
  <c r="BA295" i="5"/>
  <c r="AY304" i="5"/>
  <c r="AQ304" i="5"/>
  <c r="AY300" i="5"/>
  <c r="AQ300" i="5"/>
  <c r="AY296" i="5"/>
  <c r="AQ296" i="5"/>
  <c r="AP295" i="5"/>
  <c r="AR295" i="5"/>
  <c r="AS295" i="5"/>
  <c r="AT295" i="5"/>
  <c r="AU295" i="5"/>
  <c r="AV295" i="5"/>
  <c r="AX295" i="5"/>
  <c r="AZ295" i="5"/>
  <c r="BB295" i="5"/>
  <c r="BC295" i="5"/>
  <c r="BD295" i="5"/>
  <c r="AP296" i="5"/>
  <c r="AR296" i="5"/>
  <c r="AS296" i="5"/>
  <c r="AT296" i="5"/>
  <c r="AV296" i="5"/>
  <c r="AX296" i="5"/>
  <c r="AZ296" i="5"/>
  <c r="BA296" i="5"/>
  <c r="BB296" i="5"/>
  <c r="BD296" i="5"/>
  <c r="AW305" i="5"/>
  <c r="AW294" i="5"/>
  <c r="E19" i="5"/>
  <c r="I44" i="5" s="1"/>
  <c r="I39" i="5"/>
  <c r="I104" i="5"/>
  <c r="I103" i="5"/>
  <c r="I101" i="5"/>
  <c r="I100" i="5"/>
  <c r="AP285" i="5"/>
  <c r="AC99" i="5" s="1"/>
  <c r="AR285" i="5"/>
  <c r="AC97" i="5" s="1"/>
  <c r="AT285" i="5"/>
  <c r="AC100" i="5" s="1"/>
  <c r="AV285" i="5"/>
  <c r="AC98" i="5" s="1"/>
  <c r="AX285" i="5"/>
  <c r="AC101" i="5" s="1"/>
  <c r="AZ285" i="5"/>
  <c r="AC102" i="5" s="1"/>
  <c r="BB285" i="5"/>
  <c r="AC103" i="5" s="1"/>
  <c r="BD285" i="5"/>
  <c r="AC104" i="5" s="1"/>
  <c r="AN285" i="5"/>
  <c r="AC96" i="5" s="1"/>
  <c r="I98" i="5"/>
  <c r="I97" i="5"/>
  <c r="F110" i="5" s="1"/>
  <c r="C30" i="1" s="1"/>
  <c r="C31" i="8" s="1"/>
  <c r="BD321" i="5"/>
  <c r="AX321" i="5"/>
  <c r="AV321" i="5"/>
  <c r="AR321" i="5"/>
  <c r="BD297" i="5"/>
  <c r="BB299" i="5"/>
  <c r="AZ297" i="5"/>
  <c r="AX299" i="5"/>
  <c r="AX297" i="5"/>
  <c r="AV299" i="5"/>
  <c r="AV297" i="5"/>
  <c r="AS320" i="5"/>
  <c r="N289" i="5"/>
  <c r="N290" i="5"/>
  <c r="N291" i="5"/>
  <c r="N292" i="5"/>
  <c r="N293" i="5"/>
  <c r="N294" i="5"/>
  <c r="N295" i="5"/>
  <c r="N296" i="5"/>
  <c r="N297" i="5"/>
  <c r="N298" i="5"/>
  <c r="N299" i="5"/>
  <c r="N300" i="5"/>
  <c r="N301" i="5"/>
  <c r="N302" i="5"/>
  <c r="N303" i="5"/>
  <c r="N304" i="5"/>
  <c r="N305" i="5"/>
  <c r="N306" i="5"/>
  <c r="N307" i="5"/>
  <c r="N308" i="5"/>
  <c r="N309" i="5"/>
  <c r="N310" i="5"/>
  <c r="N311" i="5"/>
  <c r="N312" i="5"/>
  <c r="N313" i="5"/>
  <c r="N314" i="5"/>
  <c r="N315" i="5"/>
  <c r="N316" i="5"/>
  <c r="N317" i="5"/>
  <c r="N318" i="5"/>
  <c r="N319" i="5"/>
  <c r="N320" i="5"/>
  <c r="N321" i="5"/>
  <c r="N322" i="5"/>
  <c r="N323" i="5"/>
  <c r="N324" i="5"/>
  <c r="N325" i="5"/>
  <c r="N326" i="5"/>
  <c r="N327" i="5"/>
  <c r="N328" i="5"/>
  <c r="N329" i="5"/>
  <c r="N330" i="5"/>
  <c r="N331" i="5"/>
  <c r="N332" i="5"/>
  <c r="N333" i="5"/>
  <c r="N334" i="5"/>
  <c r="N335" i="5"/>
  <c r="N336" i="5"/>
  <c r="N337" i="5"/>
  <c r="N338" i="5"/>
  <c r="N339" i="5"/>
  <c r="N340" i="5"/>
  <c r="N341" i="5"/>
  <c r="N342" i="5"/>
  <c r="N343" i="5"/>
  <c r="N344" i="5"/>
  <c r="N345" i="5"/>
  <c r="N346" i="5"/>
  <c r="N347" i="5"/>
  <c r="N348" i="5"/>
  <c r="N349" i="5"/>
  <c r="N350" i="5"/>
  <c r="N351" i="5"/>
  <c r="N352" i="5"/>
  <c r="N353" i="5"/>
  <c r="N354" i="5"/>
  <c r="N355" i="5"/>
  <c r="N356" i="5"/>
  <c r="N357" i="5"/>
  <c r="N288" i="5"/>
  <c r="G227" i="5"/>
  <c r="G225" i="5"/>
  <c r="G223" i="5"/>
  <c r="C248" i="5"/>
  <c r="E37" i="5" s="1"/>
  <c r="K47" i="5"/>
  <c r="J47" i="5" s="1"/>
  <c r="H37" i="5"/>
  <c r="H39" i="5"/>
  <c r="H38" i="5"/>
  <c r="H35" i="5"/>
  <c r="H36" i="5"/>
  <c r="H33" i="5"/>
  <c r="F33" i="5" s="1"/>
  <c r="H46" i="5"/>
  <c r="H45" i="5"/>
  <c r="H44" i="5"/>
  <c r="H34" i="5"/>
  <c r="H32" i="5"/>
  <c r="H10" i="5"/>
  <c r="H9" i="5"/>
  <c r="G46" i="5"/>
  <c r="G45" i="5"/>
  <c r="G44" i="5"/>
  <c r="I36" i="5"/>
  <c r="G36" i="5"/>
  <c r="G34" i="5"/>
  <c r="I33" i="5"/>
  <c r="G33" i="5"/>
  <c r="G32" i="5"/>
  <c r="K30" i="5"/>
  <c r="E49" i="5"/>
  <c r="K49" i="5" s="1"/>
  <c r="J49" i="5" s="1"/>
  <c r="E48" i="5"/>
  <c r="K48" i="5" s="1"/>
  <c r="M28" i="1" s="1"/>
  <c r="E42" i="5"/>
  <c r="K42" i="5" s="1"/>
  <c r="M22" i="1" s="1"/>
  <c r="E36" i="5"/>
  <c r="E34" i="5"/>
  <c r="AI288" i="5"/>
  <c r="AF288"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26"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288" i="5"/>
  <c r="F208" i="5"/>
  <c r="C203" i="5"/>
  <c r="E39" i="5" s="1"/>
  <c r="C194" i="5"/>
  <c r="K140" i="5"/>
  <c r="AM357" i="5" s="1"/>
  <c r="K137" i="5"/>
  <c r="J142" i="5"/>
  <c r="J141" i="5"/>
  <c r="J140" i="5"/>
  <c r="J139" i="5"/>
  <c r="J138" i="5"/>
  <c r="AM300" i="5" s="1"/>
  <c r="J137" i="5"/>
  <c r="AM288" i="5" s="1"/>
  <c r="J136" i="5"/>
  <c r="J135" i="5"/>
  <c r="AL300" i="5" s="1"/>
  <c r="J134" i="5"/>
  <c r="AL288" i="5" s="1"/>
  <c r="W288" i="5" s="1"/>
  <c r="C201" i="5"/>
  <c r="F236" i="5" s="1"/>
  <c r="H236" i="5" s="1"/>
  <c r="C179" i="5"/>
  <c r="F8" i="5"/>
  <c r="C13" i="1"/>
  <c r="G39" i="5"/>
  <c r="AN295" i="5"/>
  <c r="AN296" i="5"/>
  <c r="AN297" i="5"/>
  <c r="AN298" i="5"/>
  <c r="AP298" i="5"/>
  <c r="AR298" i="5"/>
  <c r="AT298" i="5"/>
  <c r="AV298" i="5"/>
  <c r="AX298" i="5"/>
  <c r="AZ298" i="5"/>
  <c r="BB298" i="5"/>
  <c r="BD298" i="5"/>
  <c r="AN299" i="5"/>
  <c r="AN300" i="5"/>
  <c r="AP300" i="5"/>
  <c r="AR300" i="5"/>
  <c r="AT300" i="5"/>
  <c r="AV300" i="5"/>
  <c r="AX300" i="5"/>
  <c r="AZ300" i="5"/>
  <c r="BB300" i="5"/>
  <c r="BD300" i="5"/>
  <c r="AN301" i="5"/>
  <c r="AP301" i="5"/>
  <c r="AR301" i="5"/>
  <c r="AT301" i="5"/>
  <c r="AV301" i="5"/>
  <c r="AX301" i="5"/>
  <c r="AZ301" i="5"/>
  <c r="BB301" i="5"/>
  <c r="BD301" i="5"/>
  <c r="AN302" i="5"/>
  <c r="AN303" i="5"/>
  <c r="AP303" i="5"/>
  <c r="AR303" i="5"/>
  <c r="AT303" i="5"/>
  <c r="AV303" i="5"/>
  <c r="AX303" i="5"/>
  <c r="AZ303" i="5"/>
  <c r="BB303" i="5"/>
  <c r="BD303" i="5"/>
  <c r="AN304" i="5"/>
  <c r="AP304" i="5"/>
  <c r="AR304" i="5"/>
  <c r="AT304" i="5"/>
  <c r="AV304" i="5"/>
  <c r="AX304" i="5"/>
  <c r="AZ304" i="5"/>
  <c r="BB304" i="5"/>
  <c r="BD304" i="5"/>
  <c r="AN305" i="5"/>
  <c r="AN306" i="5"/>
  <c r="AP306" i="5"/>
  <c r="AR306" i="5"/>
  <c r="AT306" i="5"/>
  <c r="AV306" i="5"/>
  <c r="AX306" i="5"/>
  <c r="AZ306" i="5"/>
  <c r="BB306" i="5"/>
  <c r="BD306" i="5"/>
  <c r="AN307" i="5"/>
  <c r="AN308" i="5"/>
  <c r="AP308" i="5"/>
  <c r="AR308" i="5"/>
  <c r="AT308" i="5"/>
  <c r="AV308" i="5"/>
  <c r="AX308" i="5"/>
  <c r="AZ308" i="5"/>
  <c r="BB308" i="5"/>
  <c r="BD308" i="5"/>
  <c r="AN309" i="5"/>
  <c r="AP309" i="5"/>
  <c r="AR309" i="5"/>
  <c r="AT309" i="5"/>
  <c r="AV309" i="5"/>
  <c r="AX309" i="5"/>
  <c r="AZ309" i="5"/>
  <c r="BB309" i="5"/>
  <c r="BD309" i="5"/>
  <c r="AN310" i="5"/>
  <c r="AP310" i="5"/>
  <c r="AR310" i="5"/>
  <c r="AT310" i="5"/>
  <c r="AV310" i="5"/>
  <c r="AX310" i="5"/>
  <c r="AZ310" i="5"/>
  <c r="BB310" i="5"/>
  <c r="BD310" i="5"/>
  <c r="AN311" i="5"/>
  <c r="AP311" i="5"/>
  <c r="AR311" i="5"/>
  <c r="AT311" i="5"/>
  <c r="AV311" i="5"/>
  <c r="AX311" i="5"/>
  <c r="AZ311" i="5"/>
  <c r="BB311" i="5"/>
  <c r="BD311" i="5"/>
  <c r="AN312" i="5"/>
  <c r="AP312" i="5"/>
  <c r="AR312" i="5"/>
  <c r="AT312" i="5"/>
  <c r="AV312" i="5"/>
  <c r="AX312" i="5"/>
  <c r="AZ312" i="5"/>
  <c r="BB312" i="5"/>
  <c r="BD312" i="5"/>
  <c r="AN313" i="5"/>
  <c r="AP313" i="5"/>
  <c r="AR313" i="5"/>
  <c r="AT313" i="5"/>
  <c r="AV313" i="5"/>
  <c r="AX313" i="5"/>
  <c r="AZ313" i="5"/>
  <c r="BB313" i="5"/>
  <c r="BD313" i="5"/>
  <c r="AN314" i="5"/>
  <c r="AP314" i="5"/>
  <c r="AR314" i="5"/>
  <c r="AT314" i="5"/>
  <c r="AV314" i="5"/>
  <c r="AX314" i="5"/>
  <c r="AZ314" i="5"/>
  <c r="BB314" i="5"/>
  <c r="BD314" i="5"/>
  <c r="AN315" i="5"/>
  <c r="AP315" i="5"/>
  <c r="AR315" i="5"/>
  <c r="AT315" i="5"/>
  <c r="AV315" i="5"/>
  <c r="AX315" i="5"/>
  <c r="AZ315" i="5"/>
  <c r="BB315" i="5"/>
  <c r="BD315" i="5"/>
  <c r="AN316" i="5"/>
  <c r="AP316" i="5"/>
  <c r="AR316" i="5"/>
  <c r="AT316" i="5"/>
  <c r="AV316" i="5"/>
  <c r="AX316" i="5"/>
  <c r="AZ316" i="5"/>
  <c r="BB316" i="5"/>
  <c r="BD316" i="5"/>
  <c r="AN317" i="5"/>
  <c r="AP317" i="5"/>
  <c r="AR317" i="5"/>
  <c r="AT317" i="5"/>
  <c r="AV317" i="5"/>
  <c r="AX317" i="5"/>
  <c r="AZ317" i="5"/>
  <c r="BB317" i="5"/>
  <c r="BD317" i="5"/>
  <c r="AN318" i="5"/>
  <c r="AP318" i="5"/>
  <c r="AR318" i="5"/>
  <c r="AT318" i="5"/>
  <c r="AV318" i="5"/>
  <c r="AX318" i="5"/>
  <c r="AZ318" i="5"/>
  <c r="BB318" i="5"/>
  <c r="BD318" i="5"/>
  <c r="AN319" i="5"/>
  <c r="AP319" i="5"/>
  <c r="AR319" i="5"/>
  <c r="AT319" i="5"/>
  <c r="AV319" i="5"/>
  <c r="AX319" i="5"/>
  <c r="AZ319" i="5"/>
  <c r="BB319" i="5"/>
  <c r="BD319" i="5"/>
  <c r="AN320" i="5"/>
  <c r="AP320" i="5"/>
  <c r="AR320" i="5"/>
  <c r="AT320" i="5"/>
  <c r="AV320" i="5"/>
  <c r="AX320" i="5"/>
  <c r="AZ320" i="5"/>
  <c r="BB320" i="5"/>
  <c r="BD320" i="5"/>
  <c r="AN321" i="5"/>
  <c r="AP321" i="5"/>
  <c r="AT321" i="5"/>
  <c r="AZ321" i="5"/>
  <c r="BB321" i="5"/>
  <c r="AN322" i="5"/>
  <c r="AP322" i="5"/>
  <c r="AR322" i="5"/>
  <c r="AT322" i="5"/>
  <c r="AV322" i="5"/>
  <c r="AX322" i="5"/>
  <c r="AZ322" i="5"/>
  <c r="BB322" i="5"/>
  <c r="BD322" i="5"/>
  <c r="AN323" i="5"/>
  <c r="AP323" i="5"/>
  <c r="AR323" i="5"/>
  <c r="AT323" i="5"/>
  <c r="AV323" i="5"/>
  <c r="AX323" i="5"/>
  <c r="AZ323" i="5"/>
  <c r="BB323" i="5"/>
  <c r="BD323" i="5"/>
  <c r="AN324" i="5"/>
  <c r="AP324" i="5"/>
  <c r="AR324" i="5"/>
  <c r="AT324" i="5"/>
  <c r="AV324" i="5"/>
  <c r="AX324" i="5"/>
  <c r="AZ324" i="5"/>
  <c r="BB324" i="5"/>
  <c r="BD324" i="5"/>
  <c r="AN325" i="5"/>
  <c r="AP325" i="5"/>
  <c r="AR325" i="5"/>
  <c r="AT325" i="5"/>
  <c r="AV325" i="5"/>
  <c r="AX325" i="5"/>
  <c r="AZ325" i="5"/>
  <c r="BB325" i="5"/>
  <c r="BD325" i="5"/>
  <c r="AN326" i="5"/>
  <c r="AP326" i="5"/>
  <c r="AR326" i="5"/>
  <c r="AT326" i="5"/>
  <c r="AV326" i="5"/>
  <c r="AX326" i="5"/>
  <c r="AZ326" i="5"/>
  <c r="BB326" i="5"/>
  <c r="BD326" i="5"/>
  <c r="AN327" i="5"/>
  <c r="AP327" i="5"/>
  <c r="AR327" i="5"/>
  <c r="AT327" i="5"/>
  <c r="AV327" i="5"/>
  <c r="AX327" i="5"/>
  <c r="AZ327" i="5"/>
  <c r="BB327" i="5"/>
  <c r="BD327" i="5"/>
  <c r="AN328" i="5"/>
  <c r="AP328" i="5"/>
  <c r="AR328" i="5"/>
  <c r="AT328" i="5"/>
  <c r="AV328" i="5"/>
  <c r="AX328" i="5"/>
  <c r="AZ328" i="5"/>
  <c r="BB328" i="5"/>
  <c r="BD328" i="5"/>
  <c r="AN329" i="5"/>
  <c r="AP329" i="5"/>
  <c r="AR329" i="5"/>
  <c r="AT329" i="5"/>
  <c r="AV329" i="5"/>
  <c r="AX329" i="5"/>
  <c r="AZ329" i="5"/>
  <c r="BB329" i="5"/>
  <c r="BD329" i="5"/>
  <c r="AN330" i="5"/>
  <c r="AP330" i="5"/>
  <c r="AR330" i="5"/>
  <c r="AT330" i="5"/>
  <c r="AV330" i="5"/>
  <c r="AX330" i="5"/>
  <c r="AZ330" i="5"/>
  <c r="BB330" i="5"/>
  <c r="BD330" i="5"/>
  <c r="AN331" i="5"/>
  <c r="AP331" i="5"/>
  <c r="AR331" i="5"/>
  <c r="AT331" i="5"/>
  <c r="AV331" i="5"/>
  <c r="AX331" i="5"/>
  <c r="AZ331" i="5"/>
  <c r="BB331" i="5"/>
  <c r="BD331" i="5"/>
  <c r="AN332" i="5"/>
  <c r="AP332" i="5"/>
  <c r="AR332" i="5"/>
  <c r="AT332" i="5"/>
  <c r="AV332" i="5"/>
  <c r="AX332" i="5"/>
  <c r="AZ332" i="5"/>
  <c r="BB332" i="5"/>
  <c r="BD332" i="5"/>
  <c r="AN333" i="5"/>
  <c r="AP333" i="5"/>
  <c r="AR333" i="5"/>
  <c r="AT333" i="5"/>
  <c r="AV333" i="5"/>
  <c r="AX333" i="5"/>
  <c r="AZ333" i="5"/>
  <c r="BB333" i="5"/>
  <c r="BD333" i="5"/>
  <c r="AN334" i="5"/>
  <c r="AP334" i="5"/>
  <c r="AR334" i="5"/>
  <c r="AT334" i="5"/>
  <c r="AV334" i="5"/>
  <c r="AX334" i="5"/>
  <c r="AZ334" i="5"/>
  <c r="BB334" i="5"/>
  <c r="BD334" i="5"/>
  <c r="AN335" i="5"/>
  <c r="AP335" i="5"/>
  <c r="AR335" i="5"/>
  <c r="AT335" i="5"/>
  <c r="AV335" i="5"/>
  <c r="AX335" i="5"/>
  <c r="AZ335" i="5"/>
  <c r="BB335" i="5"/>
  <c r="BD335" i="5"/>
  <c r="AN336" i="5"/>
  <c r="AP336" i="5"/>
  <c r="AR336" i="5"/>
  <c r="AT336" i="5"/>
  <c r="AV336" i="5"/>
  <c r="AX336" i="5"/>
  <c r="AZ336" i="5"/>
  <c r="BB336" i="5"/>
  <c r="BD336" i="5"/>
  <c r="AN337" i="5"/>
  <c r="AP337" i="5"/>
  <c r="AR337" i="5"/>
  <c r="AT337" i="5"/>
  <c r="AV337" i="5"/>
  <c r="AX337" i="5"/>
  <c r="AZ337" i="5"/>
  <c r="BB337" i="5"/>
  <c r="BD337" i="5"/>
  <c r="AN338" i="5"/>
  <c r="AP338" i="5"/>
  <c r="AR338" i="5"/>
  <c r="AT338" i="5"/>
  <c r="AV338" i="5"/>
  <c r="AX338" i="5"/>
  <c r="AZ338" i="5"/>
  <c r="BB338" i="5"/>
  <c r="BD338" i="5"/>
  <c r="AN339" i="5"/>
  <c r="AP339" i="5"/>
  <c r="AR339" i="5"/>
  <c r="AT339" i="5"/>
  <c r="AV339" i="5"/>
  <c r="AX339" i="5"/>
  <c r="AZ339" i="5"/>
  <c r="BB339" i="5"/>
  <c r="BD339" i="5"/>
  <c r="AN340" i="5"/>
  <c r="AP340" i="5"/>
  <c r="AR340" i="5"/>
  <c r="AT340" i="5"/>
  <c r="AV340" i="5"/>
  <c r="AX340" i="5"/>
  <c r="AZ340" i="5"/>
  <c r="BB340" i="5"/>
  <c r="BD340" i="5"/>
  <c r="AN341" i="5"/>
  <c r="AP341" i="5"/>
  <c r="AR341" i="5"/>
  <c r="AT341" i="5"/>
  <c r="AV341" i="5"/>
  <c r="AX341" i="5"/>
  <c r="AZ341" i="5"/>
  <c r="BB341" i="5"/>
  <c r="BD341" i="5"/>
  <c r="AN342" i="5"/>
  <c r="AP342" i="5"/>
  <c r="AR342" i="5"/>
  <c r="AT342" i="5"/>
  <c r="AV342" i="5"/>
  <c r="AX342" i="5"/>
  <c r="AZ342" i="5"/>
  <c r="BB342" i="5"/>
  <c r="BD342" i="5"/>
  <c r="AN343" i="5"/>
  <c r="AP343" i="5"/>
  <c r="AR343" i="5"/>
  <c r="AT343" i="5"/>
  <c r="AV343" i="5"/>
  <c r="AX343" i="5"/>
  <c r="AZ343" i="5"/>
  <c r="BB343" i="5"/>
  <c r="BD343" i="5"/>
  <c r="AN344" i="5"/>
  <c r="AP344" i="5"/>
  <c r="AR344" i="5"/>
  <c r="AT344" i="5"/>
  <c r="AV344" i="5"/>
  <c r="AX344" i="5"/>
  <c r="AZ344" i="5"/>
  <c r="BB344" i="5"/>
  <c r="BD344" i="5"/>
  <c r="AN345" i="5"/>
  <c r="AP345" i="5"/>
  <c r="AR345" i="5"/>
  <c r="AT345" i="5"/>
  <c r="AV345" i="5"/>
  <c r="AX345" i="5"/>
  <c r="AZ345" i="5"/>
  <c r="BB345" i="5"/>
  <c r="BD345" i="5"/>
  <c r="AN346" i="5"/>
  <c r="AP346" i="5"/>
  <c r="AR346" i="5"/>
  <c r="AT346" i="5"/>
  <c r="AV346" i="5"/>
  <c r="AX346" i="5"/>
  <c r="AZ346" i="5"/>
  <c r="BB346" i="5"/>
  <c r="BD346" i="5"/>
  <c r="AN347" i="5"/>
  <c r="AP347" i="5"/>
  <c r="AR347" i="5"/>
  <c r="AT347" i="5"/>
  <c r="AV347" i="5"/>
  <c r="AX347" i="5"/>
  <c r="AZ347" i="5"/>
  <c r="BB347" i="5"/>
  <c r="BD347" i="5"/>
  <c r="AN348" i="5"/>
  <c r="AP348" i="5"/>
  <c r="AR348" i="5"/>
  <c r="AT348" i="5"/>
  <c r="AV348" i="5"/>
  <c r="AX348" i="5"/>
  <c r="AZ348" i="5"/>
  <c r="BB348" i="5"/>
  <c r="BD348" i="5"/>
  <c r="AN349" i="5"/>
  <c r="AP349" i="5"/>
  <c r="AR349" i="5"/>
  <c r="AT349" i="5"/>
  <c r="AV349" i="5"/>
  <c r="AX349" i="5"/>
  <c r="AZ349" i="5"/>
  <c r="BB349" i="5"/>
  <c r="BD349" i="5"/>
  <c r="AN350" i="5"/>
  <c r="AP350" i="5"/>
  <c r="AR350" i="5"/>
  <c r="AT350" i="5"/>
  <c r="AV350" i="5"/>
  <c r="AX350" i="5"/>
  <c r="AZ350" i="5"/>
  <c r="BB350" i="5"/>
  <c r="BD350" i="5"/>
  <c r="AN351" i="5"/>
  <c r="AP351" i="5"/>
  <c r="AR351" i="5"/>
  <c r="AT351" i="5"/>
  <c r="AV351" i="5"/>
  <c r="AX351" i="5"/>
  <c r="AZ351" i="5"/>
  <c r="BB351" i="5"/>
  <c r="BD351" i="5"/>
  <c r="AN352" i="5"/>
  <c r="AP352" i="5"/>
  <c r="AR352" i="5"/>
  <c r="AT352" i="5"/>
  <c r="AV352" i="5"/>
  <c r="AX352" i="5"/>
  <c r="AZ352" i="5"/>
  <c r="BB352" i="5"/>
  <c r="BD352" i="5"/>
  <c r="AN353" i="5"/>
  <c r="AP353" i="5"/>
  <c r="AR353" i="5"/>
  <c r="AT353" i="5"/>
  <c r="AV353" i="5"/>
  <c r="AX353" i="5"/>
  <c r="AZ353" i="5"/>
  <c r="BB353" i="5"/>
  <c r="BD353" i="5"/>
  <c r="AN354" i="5"/>
  <c r="AP354" i="5"/>
  <c r="AR354" i="5"/>
  <c r="AT354" i="5"/>
  <c r="AV354" i="5"/>
  <c r="AX354" i="5"/>
  <c r="AZ354" i="5"/>
  <c r="BB354" i="5"/>
  <c r="BD354" i="5"/>
  <c r="AN355" i="5"/>
  <c r="AP355" i="5"/>
  <c r="AR355" i="5"/>
  <c r="AT355" i="5"/>
  <c r="AV355" i="5"/>
  <c r="AX355" i="5"/>
  <c r="AZ355" i="5"/>
  <c r="BB355" i="5"/>
  <c r="BD355" i="5"/>
  <c r="AN356" i="5"/>
  <c r="AP356" i="5"/>
  <c r="AR356" i="5"/>
  <c r="AT356" i="5"/>
  <c r="AV356" i="5"/>
  <c r="AX356" i="5"/>
  <c r="AZ356" i="5"/>
  <c r="BB356" i="5"/>
  <c r="BD356" i="5"/>
  <c r="AN357" i="5"/>
  <c r="AP357" i="5"/>
  <c r="AR357" i="5"/>
  <c r="AT357" i="5"/>
  <c r="AV357" i="5"/>
  <c r="AX357" i="5"/>
  <c r="AZ357" i="5"/>
  <c r="BB357" i="5"/>
  <c r="BD357" i="5"/>
  <c r="AN358" i="5"/>
  <c r="AP358" i="5"/>
  <c r="AR358" i="5"/>
  <c r="AT358" i="5"/>
  <c r="AV358" i="5"/>
  <c r="AX358" i="5"/>
  <c r="AZ358" i="5"/>
  <c r="BB358" i="5"/>
  <c r="BD358" i="5"/>
  <c r="AP288" i="5"/>
  <c r="AR288" i="5"/>
  <c r="AT288" i="5"/>
  <c r="AV288" i="5"/>
  <c r="AX288" i="5"/>
  <c r="AZ288" i="5"/>
  <c r="BB288" i="5"/>
  <c r="BD288" i="5"/>
  <c r="AP289" i="5"/>
  <c r="AR289" i="5"/>
  <c r="AT289" i="5"/>
  <c r="AV289" i="5"/>
  <c r="AX289" i="5"/>
  <c r="AZ289" i="5"/>
  <c r="BB289" i="5"/>
  <c r="BD289" i="5"/>
  <c r="AP290" i="5"/>
  <c r="AR290" i="5"/>
  <c r="AT290" i="5"/>
  <c r="AV290" i="5"/>
  <c r="AX290" i="5"/>
  <c r="AZ290" i="5"/>
  <c r="BB290" i="5"/>
  <c r="BD290" i="5"/>
  <c r="AP291" i="5"/>
  <c r="AR291" i="5"/>
  <c r="AT291" i="5"/>
  <c r="AV291" i="5"/>
  <c r="AX291" i="5"/>
  <c r="AZ291" i="5"/>
  <c r="BB291" i="5"/>
  <c r="BD291" i="5"/>
  <c r="AP292" i="5"/>
  <c r="AR292" i="5"/>
  <c r="AT292" i="5"/>
  <c r="AV292" i="5"/>
  <c r="AX292" i="5"/>
  <c r="AZ292" i="5"/>
  <c r="BB292" i="5"/>
  <c r="BD292" i="5"/>
  <c r="AP293" i="5"/>
  <c r="AR293" i="5"/>
  <c r="AT293" i="5"/>
  <c r="AV293" i="5"/>
  <c r="AX293" i="5"/>
  <c r="AZ293" i="5"/>
  <c r="BB293" i="5"/>
  <c r="BD293" i="5"/>
  <c r="AP294" i="5"/>
  <c r="AR294" i="5"/>
  <c r="AT294" i="5"/>
  <c r="AV294" i="5"/>
  <c r="AX294" i="5"/>
  <c r="AZ294" i="5"/>
  <c r="BB294" i="5"/>
  <c r="BD294" i="5"/>
  <c r="AN289" i="5"/>
  <c r="AN290" i="5"/>
  <c r="AN291" i="5"/>
  <c r="AN292" i="5"/>
  <c r="AN293" i="5"/>
  <c r="AN294" i="5"/>
  <c r="AS303" i="5"/>
  <c r="AO305" i="5"/>
  <c r="AO301" i="5"/>
  <c r="AO297" i="5"/>
  <c r="BE294" i="5"/>
  <c r="BC294" i="5"/>
  <c r="AU294" i="5"/>
  <c r="D32" i="1"/>
  <c r="C116" i="5"/>
  <c r="M30" i="4" s="1"/>
  <c r="AD30" i="4" s="1"/>
  <c r="Q367" i="5"/>
  <c r="Q366" i="5"/>
  <c r="J367" i="5"/>
  <c r="J368" i="5"/>
  <c r="J369" i="5"/>
  <c r="J370" i="5"/>
  <c r="J371" i="5"/>
  <c r="J372" i="5"/>
  <c r="J373" i="5"/>
  <c r="J374" i="5"/>
  <c r="J375" i="5"/>
  <c r="J376" i="5"/>
  <c r="J377" i="5"/>
  <c r="J378" i="5"/>
  <c r="J379" i="5"/>
  <c r="J380" i="5"/>
  <c r="J381" i="5"/>
  <c r="J382" i="5"/>
  <c r="J383" i="5"/>
  <c r="J384" i="5"/>
  <c r="J385" i="5"/>
  <c r="J386" i="5"/>
  <c r="J387" i="5"/>
  <c r="J388" i="5"/>
  <c r="J389" i="5"/>
  <c r="J390" i="5"/>
  <c r="J391" i="5"/>
  <c r="J366" i="5"/>
  <c r="E367" i="5"/>
  <c r="C367" i="5"/>
  <c r="C229" i="5" s="1"/>
  <c r="E40" i="5" s="1"/>
  <c r="K40" i="5" s="1"/>
  <c r="M20" i="1" s="1"/>
  <c r="O2" i="8"/>
  <c r="G217" i="5"/>
  <c r="G218" i="5" s="1"/>
  <c r="G215" i="5"/>
  <c r="AC353" i="5"/>
  <c r="AC354" i="5" s="1"/>
  <c r="AC355" i="5" s="1"/>
  <c r="AC356" i="5" s="1"/>
  <c r="AC357" i="5" s="1"/>
  <c r="AC289" i="5"/>
  <c r="AC290" i="5" s="1"/>
  <c r="AC291" i="5" s="1"/>
  <c r="AC292" i="5" s="1"/>
  <c r="AC293" i="5" s="1"/>
  <c r="AC294" i="5" s="1"/>
  <c r="AC295" i="5" s="1"/>
  <c r="AC296" i="5" s="1"/>
  <c r="AC297" i="5" s="1"/>
  <c r="AC298" i="5" s="1"/>
  <c r="AC299" i="5" s="1"/>
  <c r="AC300" i="5" s="1"/>
  <c r="AC301" i="5" s="1"/>
  <c r="AC302" i="5" s="1"/>
  <c r="AC303" i="5" s="1"/>
  <c r="AC304" i="5" s="1"/>
  <c r="AC305" i="5" s="1"/>
  <c r="AC306" i="5" s="1"/>
  <c r="AC307" i="5" s="1"/>
  <c r="AC308" i="5" s="1"/>
  <c r="AC309" i="5" s="1"/>
  <c r="AC311" i="5" s="1"/>
  <c r="AC313" i="5" s="1"/>
  <c r="AC314" i="5" s="1"/>
  <c r="AC315" i="5" s="1"/>
  <c r="AC316" i="5" s="1"/>
  <c r="AC317" i="5" s="1"/>
  <c r="AC318" i="5" s="1"/>
  <c r="AC319" i="5" s="1"/>
  <c r="AC320" i="5" s="1"/>
  <c r="AC321" i="5" s="1"/>
  <c r="AC322" i="5" s="1"/>
  <c r="AC323" i="5" s="1"/>
  <c r="AC324" i="5" s="1"/>
  <c r="AC325" i="5" s="1"/>
  <c r="AC327" i="5" s="1"/>
  <c r="AC328" i="5" s="1"/>
  <c r="AC329" i="5" s="1"/>
  <c r="AC330" i="5" s="1"/>
  <c r="AC331" i="5" s="1"/>
  <c r="AC332" i="5" s="1"/>
  <c r="AC333" i="5" s="1"/>
  <c r="AC334" i="5" s="1"/>
  <c r="AC335" i="5" s="1"/>
  <c r="AC336" i="5" s="1"/>
  <c r="AC337" i="5" s="1"/>
  <c r="AC339" i="5" s="1"/>
  <c r="AC340" i="5" s="1"/>
  <c r="AC341" i="5" s="1"/>
  <c r="AC342" i="5" s="1"/>
  <c r="AC343" i="5" s="1"/>
  <c r="AC344" i="5" s="1"/>
  <c r="AC345" i="5" s="1"/>
  <c r="AC346" i="5" s="1"/>
  <c r="AC347" i="5" s="1"/>
  <c r="AC348" i="5" s="1"/>
  <c r="AC349" i="5" s="1"/>
  <c r="AC350" i="5" s="1"/>
  <c r="AC351" i="5" s="1"/>
  <c r="D95" i="5"/>
  <c r="C115" i="5"/>
  <c r="C124" i="5" s="1"/>
  <c r="E156" i="5"/>
  <c r="L156" i="5" s="1"/>
  <c r="E157" i="5"/>
  <c r="J156" i="5" s="1"/>
  <c r="E155" i="5"/>
  <c r="K156" i="5" s="1"/>
  <c r="L265" i="5"/>
  <c r="L269" i="5" s="1"/>
  <c r="B122" i="5"/>
  <c r="D24" i="1"/>
  <c r="F240" i="5"/>
  <c r="H240" i="5" s="1"/>
  <c r="F239" i="5"/>
  <c r="H239" i="5" s="1"/>
  <c r="F238" i="5"/>
  <c r="H238" i="5" s="1"/>
  <c r="F237" i="5"/>
  <c r="H237" i="5" s="1"/>
  <c r="Z9" i="1"/>
  <c r="U22" i="1"/>
  <c r="C176" i="5"/>
  <c r="C152" i="5"/>
  <c r="C151" i="5"/>
  <c r="C153" i="5" s="1"/>
  <c r="AH282" i="5"/>
  <c r="D26" i="1"/>
  <c r="K26" i="1" s="1"/>
  <c r="K27" i="8" s="1"/>
  <c r="Z10" i="1"/>
  <c r="U12" i="1"/>
  <c r="U14" i="1"/>
  <c r="Z8" i="1"/>
  <c r="F44" i="8"/>
  <c r="N30" i="8"/>
  <c r="J9" i="1"/>
  <c r="G367" i="5"/>
  <c r="I367" i="5" s="1"/>
  <c r="C245" i="5"/>
  <c r="G366" i="5"/>
  <c r="I366" i="5" s="1"/>
  <c r="G368" i="5"/>
  <c r="I368" i="5" s="1"/>
  <c r="G369" i="5"/>
  <c r="G370" i="5"/>
  <c r="H370" i="5" s="1"/>
  <c r="G371" i="5"/>
  <c r="G372" i="5"/>
  <c r="H372" i="5" s="1"/>
  <c r="G373" i="5"/>
  <c r="G374" i="5"/>
  <c r="I374" i="5" s="1"/>
  <c r="G375" i="5"/>
  <c r="G376" i="5"/>
  <c r="H376" i="5" s="1"/>
  <c r="G377" i="5"/>
  <c r="G378" i="5"/>
  <c r="I378" i="5" s="1"/>
  <c r="G379" i="5"/>
  <c r="G380" i="5"/>
  <c r="I380" i="5" s="1"/>
  <c r="G381" i="5"/>
  <c r="I381" i="5" s="1"/>
  <c r="G382" i="5"/>
  <c r="I382" i="5" s="1"/>
  <c r="G383" i="5"/>
  <c r="H383" i="5" s="1"/>
  <c r="G384" i="5"/>
  <c r="G385" i="5"/>
  <c r="G386" i="5"/>
  <c r="I386" i="5" s="1"/>
  <c r="G387" i="5"/>
  <c r="G388" i="5"/>
  <c r="G389" i="5"/>
  <c r="G390" i="5"/>
  <c r="H390" i="5" s="1"/>
  <c r="G391" i="5"/>
  <c r="I391" i="5" s="1"/>
  <c r="B192" i="5"/>
  <c r="O32" i="1"/>
  <c r="P32" i="1"/>
  <c r="N28" i="8"/>
  <c r="C119" i="5"/>
  <c r="C118" i="5"/>
  <c r="C202" i="5"/>
  <c r="K15" i="8"/>
  <c r="C15" i="8"/>
  <c r="C127" i="5"/>
  <c r="C117" i="5"/>
  <c r="B13" i="4" s="1"/>
  <c r="O39" i="1"/>
  <c r="P33" i="1"/>
  <c r="O33" i="1"/>
  <c r="C11" i="1"/>
  <c r="D31" i="1"/>
  <c r="E366" i="5"/>
  <c r="C366" i="5"/>
  <c r="AW295" i="5" l="1"/>
  <c r="BE295" i="5"/>
  <c r="R132" i="5"/>
  <c r="P132" i="5" s="1"/>
  <c r="K227" i="5"/>
  <c r="R131" i="5"/>
  <c r="P131" i="5" s="1"/>
  <c r="R130" i="5"/>
  <c r="P130" i="5" s="1"/>
  <c r="R128" i="5"/>
  <c r="P128" i="5" s="1"/>
  <c r="AQ295" i="5"/>
  <c r="AY295" i="5"/>
  <c r="AQ299" i="5"/>
  <c r="AQ302" i="5"/>
  <c r="AS302" i="5"/>
  <c r="AR297" i="5"/>
  <c r="AS321" i="5"/>
  <c r="AP297" i="5"/>
  <c r="AO306" i="5"/>
  <c r="AQ309" i="5"/>
  <c r="AO310" i="5"/>
  <c r="AU311" i="5"/>
  <c r="AQ313" i="5"/>
  <c r="AO314" i="5"/>
  <c r="AU315" i="5"/>
  <c r="AT299" i="5"/>
  <c r="BC298" i="5"/>
  <c r="AU298" i="5"/>
  <c r="AO298" i="5"/>
  <c r="AW298" i="5"/>
  <c r="BE298" i="5"/>
  <c r="BA300" i="5"/>
  <c r="AQ301" i="5"/>
  <c r="BE297" i="5"/>
  <c r="AW297" i="5"/>
  <c r="E8" i="5"/>
  <c r="G41" i="1" s="1"/>
  <c r="AQ297" i="5"/>
  <c r="AY297" i="5"/>
  <c r="AS299" i="5"/>
  <c r="AR299" i="5"/>
  <c r="AW302" i="5"/>
  <c r="BE321" i="5"/>
  <c r="AP299" i="5"/>
  <c r="BB297" i="5"/>
  <c r="AT297" i="5"/>
  <c r="AV302" i="5"/>
  <c r="BD302" i="5"/>
  <c r="BD299" i="5"/>
  <c r="BE301" i="5"/>
  <c r="BC311" i="5"/>
  <c r="BC315" i="5"/>
  <c r="BC299" i="5"/>
  <c r="AZ299" i="5"/>
  <c r="BA299" i="5"/>
  <c r="BA312" i="5"/>
  <c r="AW301" i="5"/>
  <c r="AW306" i="5"/>
  <c r="AW310" i="5"/>
  <c r="AW314" i="5"/>
  <c r="AT302" i="5"/>
  <c r="AU302" i="5"/>
  <c r="AU299" i="5"/>
  <c r="AR302" i="5"/>
  <c r="AS300" i="5"/>
  <c r="AP302" i="5"/>
  <c r="AS308" i="5"/>
  <c r="BA303" i="5"/>
  <c r="BE306" i="5"/>
  <c r="BE310" i="5"/>
  <c r="BE314" i="5"/>
  <c r="AY309" i="5"/>
  <c r="AY313" i="5"/>
  <c r="AS312" i="5"/>
  <c r="AZ302" i="5"/>
  <c r="BA302" i="5"/>
  <c r="J40" i="5"/>
  <c r="J48" i="5"/>
  <c r="J42" i="5"/>
  <c r="I38" i="5"/>
  <c r="I45" i="5"/>
  <c r="G35" i="5"/>
  <c r="G37" i="5"/>
  <c r="I35" i="5"/>
  <c r="I37" i="5"/>
  <c r="I46" i="5"/>
  <c r="G38" i="5"/>
  <c r="I32" i="5"/>
  <c r="I34" i="5"/>
  <c r="K20" i="1"/>
  <c r="K21" i="8" s="1"/>
  <c r="C125" i="5"/>
  <c r="C255" i="5"/>
  <c r="C244" i="5"/>
  <c r="C126" i="5"/>
  <c r="AM355" i="5"/>
  <c r="AM356" i="5"/>
  <c r="BA308" i="5"/>
  <c r="C129" i="5"/>
  <c r="C123" i="5"/>
  <c r="O29" i="4" s="1"/>
  <c r="D59" i="5"/>
  <c r="D64" i="5" s="1"/>
  <c r="L267" i="5"/>
  <c r="AO318" i="5"/>
  <c r="AW318" i="5"/>
  <c r="BE318" i="5"/>
  <c r="AU319" i="5"/>
  <c r="BC319" i="5"/>
  <c r="AU320" i="5"/>
  <c r="BC320" i="5"/>
  <c r="BA321" i="5"/>
  <c r="AQ322" i="5"/>
  <c r="AY322" i="5"/>
  <c r="AO323" i="5"/>
  <c r="AW323" i="5"/>
  <c r="BE323" i="5"/>
  <c r="AU324" i="5"/>
  <c r="AS325" i="5"/>
  <c r="BA325" i="5"/>
  <c r="AQ326" i="5"/>
  <c r="AY326" i="5"/>
  <c r="AO327" i="5"/>
  <c r="AW327" i="5"/>
  <c r="BE327" i="5"/>
  <c r="AU328" i="5"/>
  <c r="AS329" i="5"/>
  <c r="BA329" i="5"/>
  <c r="AQ330" i="5"/>
  <c r="AY330" i="5"/>
  <c r="AO331" i="5"/>
  <c r="AW331" i="5"/>
  <c r="BE331" i="5"/>
  <c r="AU332" i="5"/>
  <c r="AS333" i="5"/>
  <c r="BA333" i="5"/>
  <c r="AQ334" i="5"/>
  <c r="AY334" i="5"/>
  <c r="AO335" i="5"/>
  <c r="AW335" i="5"/>
  <c r="BE335" i="5"/>
  <c r="AQ338" i="5"/>
  <c r="AW339" i="5"/>
  <c r="BE339" i="5"/>
  <c r="AQ342" i="5"/>
  <c r="AW343" i="5"/>
  <c r="BE343" i="5"/>
  <c r="AQ346" i="5"/>
  <c r="AW347" i="5"/>
  <c r="BE347" i="5"/>
  <c r="AQ350" i="5"/>
  <c r="AW351" i="5"/>
  <c r="BE351" i="5"/>
  <c r="L273" i="5"/>
  <c r="N24" i="1" s="1"/>
  <c r="N25" i="8" s="1"/>
  <c r="BC324" i="5"/>
  <c r="BC328" i="5"/>
  <c r="BC332" i="5"/>
  <c r="BA316" i="5"/>
  <c r="AY317" i="5"/>
  <c r="AS316" i="5"/>
  <c r="AQ317" i="5"/>
  <c r="K376" i="5"/>
  <c r="K372" i="5"/>
  <c r="C254" i="5"/>
  <c r="E44" i="5" s="1"/>
  <c r="AY338" i="5"/>
  <c r="AY342" i="5"/>
  <c r="AY346" i="5"/>
  <c r="L382" i="5"/>
  <c r="Q382" i="5" s="1"/>
  <c r="D382" i="5" s="1"/>
  <c r="C382" i="5" s="1"/>
  <c r="L378" i="5"/>
  <c r="Q378" i="5" s="1"/>
  <c r="D378" i="5" s="1"/>
  <c r="E378" i="5" s="1"/>
  <c r="K370" i="5"/>
  <c r="L386" i="5"/>
  <c r="Q386" i="5" s="1"/>
  <c r="D386" i="5" s="1"/>
  <c r="C386" i="5" s="1"/>
  <c r="L374" i="5"/>
  <c r="Q374" i="5" s="1"/>
  <c r="D374" i="5" s="1"/>
  <c r="E374" i="5" s="1"/>
  <c r="BA338" i="5"/>
  <c r="BA342" i="5"/>
  <c r="BA346" i="5"/>
  <c r="BA350" i="5"/>
  <c r="L275" i="5"/>
  <c r="L274" i="5"/>
  <c r="L266" i="5"/>
  <c r="L271" i="5"/>
  <c r="AW338" i="5"/>
  <c r="BE338" i="5"/>
  <c r="AW342" i="5"/>
  <c r="BE342" i="5"/>
  <c r="AW346" i="5"/>
  <c r="BE346" i="5"/>
  <c r="AW350" i="5"/>
  <c r="BE350" i="5"/>
  <c r="AS337" i="5"/>
  <c r="BA337" i="5"/>
  <c r="AO339" i="5"/>
  <c r="AS341" i="5"/>
  <c r="BA341" i="5"/>
  <c r="AO343" i="5"/>
  <c r="AS345" i="5"/>
  <c r="BA345" i="5"/>
  <c r="AO347" i="5"/>
  <c r="AS349" i="5"/>
  <c r="BA349" i="5"/>
  <c r="AS288" i="5"/>
  <c r="BA288" i="5"/>
  <c r="AQ289" i="5"/>
  <c r="AY289" i="5"/>
  <c r="AO290" i="5"/>
  <c r="AW290" i="5"/>
  <c r="BE290" i="5"/>
  <c r="AU291" i="5"/>
  <c r="BC291" i="5"/>
  <c r="AS292" i="5"/>
  <c r="BA292" i="5"/>
  <c r="AQ293" i="5"/>
  <c r="AY293" i="5"/>
  <c r="AY350" i="5"/>
  <c r="AU338" i="5"/>
  <c r="BC338" i="5"/>
  <c r="AU342" i="5"/>
  <c r="BC342" i="5"/>
  <c r="AU346" i="5"/>
  <c r="BC346" i="5"/>
  <c r="AU350" i="5"/>
  <c r="BC350" i="5"/>
  <c r="AQ288" i="5"/>
  <c r="AY288" i="5"/>
  <c r="AO289" i="5"/>
  <c r="AW289" i="5"/>
  <c r="BE289" i="5"/>
  <c r="AU290" i="5"/>
  <c r="BC290" i="5"/>
  <c r="AS291" i="5"/>
  <c r="BA291" i="5"/>
  <c r="AQ292" i="5"/>
  <c r="AY292" i="5"/>
  <c r="AO293" i="5"/>
  <c r="AW293" i="5"/>
  <c r="BE293" i="5"/>
  <c r="AU336" i="5"/>
  <c r="BC336" i="5"/>
  <c r="AU340" i="5"/>
  <c r="BC340" i="5"/>
  <c r="AU344" i="5"/>
  <c r="BC344" i="5"/>
  <c r="AU348" i="5"/>
  <c r="BC348" i="5"/>
  <c r="AU352" i="5"/>
  <c r="BC352" i="5"/>
  <c r="AS353" i="5"/>
  <c r="BA353" i="5"/>
  <c r="AQ354" i="5"/>
  <c r="AY354" i="5"/>
  <c r="AO355" i="5"/>
  <c r="AW355" i="5"/>
  <c r="BE355" i="5"/>
  <c r="AU356" i="5"/>
  <c r="BC356" i="5"/>
  <c r="AS357" i="5"/>
  <c r="BA357" i="5"/>
  <c r="AQ358" i="5"/>
  <c r="AY358" i="5"/>
  <c r="AO294" i="5"/>
  <c r="AY301" i="5"/>
  <c r="AO302" i="5"/>
  <c r="BE302" i="5"/>
  <c r="AU303" i="5"/>
  <c r="BC303" i="5"/>
  <c r="AS304" i="5"/>
  <c r="BA304" i="5"/>
  <c r="AQ306" i="5"/>
  <c r="AY306" i="5"/>
  <c r="AO307" i="5"/>
  <c r="AU308" i="5"/>
  <c r="BC308" i="5"/>
  <c r="AS309" i="5"/>
  <c r="BA309" i="5"/>
  <c r="AQ310" i="5"/>
  <c r="AY310" i="5"/>
  <c r="AO311" i="5"/>
  <c r="AW311" i="5"/>
  <c r="BE311" i="5"/>
  <c r="AU312" i="5"/>
  <c r="BC312" i="5"/>
  <c r="AS313" i="5"/>
  <c r="BA313" i="5"/>
  <c r="AQ314" i="5"/>
  <c r="AY314" i="5"/>
  <c r="AO315" i="5"/>
  <c r="AW315" i="5"/>
  <c r="BE315" i="5"/>
  <c r="AU316" i="5"/>
  <c r="BC316" i="5"/>
  <c r="AS317" i="5"/>
  <c r="BA317" i="5"/>
  <c r="AQ318" i="5"/>
  <c r="AY318" i="5"/>
  <c r="AO319" i="5"/>
  <c r="AW319" i="5"/>
  <c r="BE319" i="5"/>
  <c r="AW320" i="5"/>
  <c r="BE320" i="5"/>
  <c r="AU321" i="5"/>
  <c r="BC321" i="5"/>
  <c r="AS322" i="5"/>
  <c r="BA322" i="5"/>
  <c r="AQ323" i="5"/>
  <c r="AY323" i="5"/>
  <c r="AO324" i="5"/>
  <c r="AW324" i="5"/>
  <c r="BE324" i="5"/>
  <c r="AU325" i="5"/>
  <c r="BC325" i="5"/>
  <c r="AS326" i="5"/>
  <c r="BA326" i="5"/>
  <c r="AQ327" i="5"/>
  <c r="AY327" i="5"/>
  <c r="AO328" i="5"/>
  <c r="AW328" i="5"/>
  <c r="BE328" i="5"/>
  <c r="AU329" i="5"/>
  <c r="BC329" i="5"/>
  <c r="AS330" i="5"/>
  <c r="BA330" i="5"/>
  <c r="AQ331" i="5"/>
  <c r="AY331" i="5"/>
  <c r="AO332" i="5"/>
  <c r="AW332" i="5"/>
  <c r="BE332" i="5"/>
  <c r="AU333" i="5"/>
  <c r="BC333" i="5"/>
  <c r="AS334" i="5"/>
  <c r="BA334" i="5"/>
  <c r="AQ335" i="5"/>
  <c r="AY335" i="5"/>
  <c r="AQ339" i="5"/>
  <c r="AY339" i="5"/>
  <c r="AQ343" i="5"/>
  <c r="AY343" i="5"/>
  <c r="AQ347" i="5"/>
  <c r="AY347" i="5"/>
  <c r="AQ351" i="5"/>
  <c r="AY351" i="5"/>
  <c r="AS336" i="5"/>
  <c r="AY337" i="5"/>
  <c r="AO338" i="5"/>
  <c r="AS340" i="5"/>
  <c r="AY341" i="5"/>
  <c r="AO342" i="5"/>
  <c r="AS344" i="5"/>
  <c r="AY345" i="5"/>
  <c r="AO346" i="5"/>
  <c r="AS348" i="5"/>
  <c r="AY349" i="5"/>
  <c r="AO350" i="5"/>
  <c r="AS352" i="5"/>
  <c r="AO336" i="5"/>
  <c r="AU337" i="5"/>
  <c r="BC337" i="5"/>
  <c r="AS338" i="5"/>
  <c r="AO340" i="5"/>
  <c r="AU341" i="5"/>
  <c r="BC341" i="5"/>
  <c r="AS342" i="5"/>
  <c r="AO344" i="5"/>
  <c r="AU345" i="5"/>
  <c r="BC345" i="5"/>
  <c r="AS346" i="5"/>
  <c r="AO348" i="5"/>
  <c r="AU349" i="5"/>
  <c r="BC349" i="5"/>
  <c r="AS350" i="5"/>
  <c r="AO352" i="5"/>
  <c r="AO288" i="5"/>
  <c r="AW288" i="5"/>
  <c r="BE288" i="5"/>
  <c r="AU289" i="5"/>
  <c r="BC289" i="5"/>
  <c r="AS290" i="5"/>
  <c r="BA290" i="5"/>
  <c r="AQ291" i="5"/>
  <c r="AY291" i="5"/>
  <c r="AO292" i="5"/>
  <c r="AW292" i="5"/>
  <c r="BE292" i="5"/>
  <c r="AU293" i="5"/>
  <c r="BC293" i="5"/>
  <c r="AS294" i="5"/>
  <c r="BA294" i="5"/>
  <c r="AO296" i="5"/>
  <c r="AU297" i="5"/>
  <c r="BC297" i="5"/>
  <c r="AS298" i="5"/>
  <c r="BA298" i="5"/>
  <c r="AY299" i="5"/>
  <c r="AO300" i="5"/>
  <c r="AW300" i="5"/>
  <c r="BE300" i="5"/>
  <c r="AU301" i="5"/>
  <c r="BC301" i="5"/>
  <c r="AQ303" i="5"/>
  <c r="AY303" i="5"/>
  <c r="AO304" i="5"/>
  <c r="AW304" i="5"/>
  <c r="BE304" i="5"/>
  <c r="AU306" i="5"/>
  <c r="BC306" i="5"/>
  <c r="AQ308" i="5"/>
  <c r="AY308" i="5"/>
  <c r="AO309" i="5"/>
  <c r="AW309" i="5"/>
  <c r="BE309" i="5"/>
  <c r="AU310" i="5"/>
  <c r="BC310" i="5"/>
  <c r="AS311" i="5"/>
  <c r="BA311" i="5"/>
  <c r="AY336" i="5"/>
  <c r="AO337" i="5"/>
  <c r="AW337" i="5"/>
  <c r="BE337" i="5"/>
  <c r="AS339" i="5"/>
  <c r="AY340" i="5"/>
  <c r="AO341" i="5"/>
  <c r="AW341" i="5"/>
  <c r="BE341" i="5"/>
  <c r="AS343" i="5"/>
  <c r="AY344" i="5"/>
  <c r="AO345" i="5"/>
  <c r="AW345" i="5"/>
  <c r="BE345" i="5"/>
  <c r="AS347" i="5"/>
  <c r="AY348" i="5"/>
  <c r="AO349" i="5"/>
  <c r="AW349" i="5"/>
  <c r="BE349" i="5"/>
  <c r="AS351" i="5"/>
  <c r="AY352" i="5"/>
  <c r="AO353" i="5"/>
  <c r="AW353" i="5"/>
  <c r="BE353" i="5"/>
  <c r="AU354" i="5"/>
  <c r="BC354" i="5"/>
  <c r="AS355" i="5"/>
  <c r="BA355" i="5"/>
  <c r="AQ356" i="5"/>
  <c r="AY356" i="5"/>
  <c r="AO357" i="5"/>
  <c r="AW357" i="5"/>
  <c r="BE357" i="5"/>
  <c r="AU358" i="5"/>
  <c r="BC358" i="5"/>
  <c r="AQ312" i="5"/>
  <c r="AY312" i="5"/>
  <c r="AO313" i="5"/>
  <c r="AW313" i="5"/>
  <c r="BE313" i="5"/>
  <c r="AU314" i="5"/>
  <c r="BC314" i="5"/>
  <c r="AS315" i="5"/>
  <c r="BA315" i="5"/>
  <c r="AQ316" i="5"/>
  <c r="AY316" i="5"/>
  <c r="AO317" i="5"/>
  <c r="AW317" i="5"/>
  <c r="BE317" i="5"/>
  <c r="AU318" i="5"/>
  <c r="BC318" i="5"/>
  <c r="AS319" i="5"/>
  <c r="BA319" i="5"/>
  <c r="AQ320" i="5"/>
  <c r="BA320" i="5"/>
  <c r="AQ321" i="5"/>
  <c r="AY321" i="5"/>
  <c r="AO322" i="5"/>
  <c r="AW322" i="5"/>
  <c r="BE322" i="5"/>
  <c r="AU323" i="5"/>
  <c r="BC323" i="5"/>
  <c r="AS324" i="5"/>
  <c r="BA324" i="5"/>
  <c r="AQ325" i="5"/>
  <c r="AY325" i="5"/>
  <c r="AO326" i="5"/>
  <c r="AW326" i="5"/>
  <c r="BE326" i="5"/>
  <c r="AU327" i="5"/>
  <c r="BC327" i="5"/>
  <c r="AS328" i="5"/>
  <c r="BA328" i="5"/>
  <c r="AQ329" i="5"/>
  <c r="AY329" i="5"/>
  <c r="AO330" i="5"/>
  <c r="AW330" i="5"/>
  <c r="BE330" i="5"/>
  <c r="AU331" i="5"/>
  <c r="BC331" i="5"/>
  <c r="AS332" i="5"/>
  <c r="BA332" i="5"/>
  <c r="AQ333" i="5"/>
  <c r="AY333" i="5"/>
  <c r="AO334" i="5"/>
  <c r="AW334" i="5"/>
  <c r="BE334" i="5"/>
  <c r="AU335" i="5"/>
  <c r="BC335" i="5"/>
  <c r="BA336" i="5"/>
  <c r="AQ337" i="5"/>
  <c r="AU339" i="5"/>
  <c r="BC339" i="5"/>
  <c r="BA340" i="5"/>
  <c r="AQ341" i="5"/>
  <c r="AU343" i="5"/>
  <c r="BC343" i="5"/>
  <c r="BA344" i="5"/>
  <c r="AQ345" i="5"/>
  <c r="AU347" i="5"/>
  <c r="BC347" i="5"/>
  <c r="BA348" i="5"/>
  <c r="AQ349" i="5"/>
  <c r="AU351" i="5"/>
  <c r="BC351" i="5"/>
  <c r="BA352" i="5"/>
  <c r="AQ353" i="5"/>
  <c r="AY353" i="5"/>
  <c r="AO354" i="5"/>
  <c r="AW354" i="5"/>
  <c r="BE354" i="5"/>
  <c r="AU355" i="5"/>
  <c r="BC355" i="5"/>
  <c r="AS356" i="5"/>
  <c r="BA356" i="5"/>
  <c r="AQ357" i="5"/>
  <c r="AY357" i="5"/>
  <c r="AO358" i="5"/>
  <c r="AW358" i="5"/>
  <c r="BE358" i="5"/>
  <c r="H391" i="5"/>
  <c r="K391" i="5" s="1"/>
  <c r="AU288" i="5"/>
  <c r="BC288" i="5"/>
  <c r="AS289" i="5"/>
  <c r="BA289" i="5"/>
  <c r="AQ290" i="5"/>
  <c r="AY290" i="5"/>
  <c r="AO291" i="5"/>
  <c r="AW291" i="5"/>
  <c r="BE291" i="5"/>
  <c r="AU292" i="5"/>
  <c r="BC292" i="5"/>
  <c r="AS293" i="5"/>
  <c r="BA293" i="5"/>
  <c r="AQ294" i="5"/>
  <c r="AY294" i="5"/>
  <c r="AO295" i="5"/>
  <c r="AS297" i="5"/>
  <c r="BA297" i="5"/>
  <c r="AQ298" i="5"/>
  <c r="AY298" i="5"/>
  <c r="AO299" i="5"/>
  <c r="AW299" i="5"/>
  <c r="BE299" i="5"/>
  <c r="AU300" i="5"/>
  <c r="BC300" i="5"/>
  <c r="AS301" i="5"/>
  <c r="BA301" i="5"/>
  <c r="AO351" i="5"/>
  <c r="AW336" i="5"/>
  <c r="BE336" i="5"/>
  <c r="AW340" i="5"/>
  <c r="BE340" i="5"/>
  <c r="AW344" i="5"/>
  <c r="BE344" i="5"/>
  <c r="AW348" i="5"/>
  <c r="BE348" i="5"/>
  <c r="AW352" i="5"/>
  <c r="BE352" i="5"/>
  <c r="AU353" i="5"/>
  <c r="BC353" i="5"/>
  <c r="AS354" i="5"/>
  <c r="BA354" i="5"/>
  <c r="AQ355" i="5"/>
  <c r="AY355" i="5"/>
  <c r="AO356" i="5"/>
  <c r="AW356" i="5"/>
  <c r="BE356" i="5"/>
  <c r="AU357" i="5"/>
  <c r="BC357" i="5"/>
  <c r="AS358" i="5"/>
  <c r="BA358" i="5"/>
  <c r="AO303" i="5"/>
  <c r="AW303" i="5"/>
  <c r="BE303" i="5"/>
  <c r="AU304" i="5"/>
  <c r="BC304" i="5"/>
  <c r="AS306" i="5"/>
  <c r="BA306" i="5"/>
  <c r="AO308" i="5"/>
  <c r="AW308" i="5"/>
  <c r="BE308" i="5"/>
  <c r="AU309" i="5"/>
  <c r="BC309" i="5"/>
  <c r="AS310" i="5"/>
  <c r="BA310" i="5"/>
  <c r="AQ311" i="5"/>
  <c r="AY311" i="5"/>
  <c r="AO312" i="5"/>
  <c r="AW312" i="5"/>
  <c r="BE312" i="5"/>
  <c r="AU313" i="5"/>
  <c r="BC313" i="5"/>
  <c r="AS314" i="5"/>
  <c r="BA314" i="5"/>
  <c r="AQ315" i="5"/>
  <c r="AY315" i="5"/>
  <c r="AO316" i="5"/>
  <c r="AW316" i="5"/>
  <c r="BE316" i="5"/>
  <c r="AU317" i="5"/>
  <c r="BC317" i="5"/>
  <c r="AS318" i="5"/>
  <c r="BA318" i="5"/>
  <c r="AQ319" i="5"/>
  <c r="AY319" i="5"/>
  <c r="AO320" i="5"/>
  <c r="AY320" i="5"/>
  <c r="AO321" i="5"/>
  <c r="AW321" i="5"/>
  <c r="AU322" i="5"/>
  <c r="BC322" i="5"/>
  <c r="AS323" i="5"/>
  <c r="BA323" i="5"/>
  <c r="AQ324" i="5"/>
  <c r="AY324" i="5"/>
  <c r="AO325" i="5"/>
  <c r="AW325" i="5"/>
  <c r="BE325" i="5"/>
  <c r="AU326" i="5"/>
  <c r="BC326" i="5"/>
  <c r="AS327" i="5"/>
  <c r="BA327" i="5"/>
  <c r="AQ328" i="5"/>
  <c r="AY328" i="5"/>
  <c r="AO329" i="5"/>
  <c r="AW329" i="5"/>
  <c r="BE329" i="5"/>
  <c r="AU330" i="5"/>
  <c r="BC330" i="5"/>
  <c r="AS331" i="5"/>
  <c r="BA331" i="5"/>
  <c r="AQ332" i="5"/>
  <c r="AY332" i="5"/>
  <c r="AO333" i="5"/>
  <c r="AW333" i="5"/>
  <c r="BE333" i="5"/>
  <c r="AU334" i="5"/>
  <c r="BC334" i="5"/>
  <c r="AS335" i="5"/>
  <c r="BA335" i="5"/>
  <c r="AQ336" i="5"/>
  <c r="BA339" i="5"/>
  <c r="AQ340" i="5"/>
  <c r="BA343" i="5"/>
  <c r="AQ344" i="5"/>
  <c r="BA347" i="5"/>
  <c r="AQ348" i="5"/>
  <c r="BA351" i="5"/>
  <c r="AQ352" i="5"/>
  <c r="D25" i="8"/>
  <c r="I372" i="5"/>
  <c r="L372" i="5" s="1"/>
  <c r="Q372" i="5" s="1"/>
  <c r="D372" i="5" s="1"/>
  <c r="H368" i="5"/>
  <c r="K368" i="5" s="1"/>
  <c r="I383" i="5"/>
  <c r="L383" i="5" s="1"/>
  <c r="Q383" i="5" s="1"/>
  <c r="D383" i="5" s="1"/>
  <c r="H374" i="5"/>
  <c r="K374" i="5" s="1"/>
  <c r="H366" i="5"/>
  <c r="L381" i="5"/>
  <c r="Q381" i="5" s="1"/>
  <c r="D381" i="5" s="1"/>
  <c r="C381" i="5" s="1"/>
  <c r="H382" i="5"/>
  <c r="K382" i="5" s="1"/>
  <c r="H380" i="5"/>
  <c r="K380" i="5" s="1"/>
  <c r="H378" i="5"/>
  <c r="K378" i="5" s="1"/>
  <c r="Z13" i="1"/>
  <c r="H367" i="5"/>
  <c r="I370" i="5"/>
  <c r="L370" i="5" s="1"/>
  <c r="Q370" i="5" s="1"/>
  <c r="D370" i="5" s="1"/>
  <c r="E370" i="5" s="1"/>
  <c r="L391" i="5"/>
  <c r="Q391" i="5" s="1"/>
  <c r="D391" i="5" s="1"/>
  <c r="E391" i="5" s="1"/>
  <c r="K383" i="5"/>
  <c r="D28" i="1"/>
  <c r="M29" i="8"/>
  <c r="H381" i="5"/>
  <c r="K381" i="5" s="1"/>
  <c r="K390" i="5"/>
  <c r="H386" i="5"/>
  <c r="K386" i="5" s="1"/>
  <c r="I376" i="5"/>
  <c r="L376" i="5" s="1"/>
  <c r="Q376" i="5" s="1"/>
  <c r="D376" i="5" s="1"/>
  <c r="C128" i="5"/>
  <c r="L380" i="5"/>
  <c r="Q380" i="5" s="1"/>
  <c r="D380" i="5" s="1"/>
  <c r="E380" i="5" s="1"/>
  <c r="L368" i="5"/>
  <c r="Q368" i="5" s="1"/>
  <c r="E368" i="5" s="1"/>
  <c r="F219" i="5"/>
  <c r="D20" i="1"/>
  <c r="M21" i="8"/>
  <c r="I379" i="5"/>
  <c r="L379" i="5" s="1"/>
  <c r="Q379" i="5" s="1"/>
  <c r="D379" i="5" s="1"/>
  <c r="H379" i="5"/>
  <c r="K379" i="5" s="1"/>
  <c r="H371" i="5"/>
  <c r="K371" i="5" s="1"/>
  <c r="I371" i="5"/>
  <c r="L371" i="5" s="1"/>
  <c r="Q371" i="5" s="1"/>
  <c r="D371" i="5" s="1"/>
  <c r="I390" i="5"/>
  <c r="L390" i="5" s="1"/>
  <c r="Q390" i="5" s="1"/>
  <c r="D390" i="5" s="1"/>
  <c r="I387" i="5"/>
  <c r="L387" i="5" s="1"/>
  <c r="Q387" i="5" s="1"/>
  <c r="D387" i="5" s="1"/>
  <c r="H387" i="5"/>
  <c r="K387" i="5" s="1"/>
  <c r="I369" i="5"/>
  <c r="L369" i="5" s="1"/>
  <c r="Q369" i="5" s="1"/>
  <c r="D369" i="5" s="1"/>
  <c r="H369" i="5"/>
  <c r="K369" i="5" s="1"/>
  <c r="K24" i="1"/>
  <c r="K25" i="8" s="1"/>
  <c r="H388" i="5"/>
  <c r="K388" i="5" s="1"/>
  <c r="I388" i="5"/>
  <c r="L388" i="5" s="1"/>
  <c r="Q388" i="5" s="1"/>
  <c r="D388" i="5" s="1"/>
  <c r="H384" i="5"/>
  <c r="K384" i="5" s="1"/>
  <c r="I384" i="5"/>
  <c r="L384" i="5" s="1"/>
  <c r="Q384" i="5" s="1"/>
  <c r="D384" i="5" s="1"/>
  <c r="H375" i="5"/>
  <c r="K375" i="5" s="1"/>
  <c r="I375" i="5"/>
  <c r="L375" i="5" s="1"/>
  <c r="Q375" i="5" s="1"/>
  <c r="D375" i="5" s="1"/>
  <c r="I373" i="5"/>
  <c r="L373" i="5" s="1"/>
  <c r="Q373" i="5" s="1"/>
  <c r="D373" i="5" s="1"/>
  <c r="H373" i="5"/>
  <c r="K373" i="5" s="1"/>
  <c r="E158" i="5"/>
  <c r="I389" i="5"/>
  <c r="L389" i="5" s="1"/>
  <c r="Q389" i="5" s="1"/>
  <c r="D389" i="5" s="1"/>
  <c r="H389" i="5"/>
  <c r="K389" i="5" s="1"/>
  <c r="H385" i="5"/>
  <c r="K385" i="5" s="1"/>
  <c r="I385" i="5"/>
  <c r="L385" i="5" s="1"/>
  <c r="Q385" i="5" s="1"/>
  <c r="D385" i="5" s="1"/>
  <c r="H377" i="5"/>
  <c r="K377" i="5" s="1"/>
  <c r="I377" i="5"/>
  <c r="L377" i="5" s="1"/>
  <c r="Q377" i="5" s="1"/>
  <c r="D377" i="5" s="1"/>
  <c r="M23" i="8"/>
  <c r="K22" i="1"/>
  <c r="L35" i="4"/>
  <c r="B12" i="4"/>
  <c r="D27" i="8"/>
  <c r="D181" i="5" l="1"/>
  <c r="R134" i="5"/>
  <c r="D27" i="1" s="1"/>
  <c r="AQ305" i="5"/>
  <c r="BD305" i="5"/>
  <c r="BC302" i="5"/>
  <c r="BB302" i="5"/>
  <c r="AX302" i="5"/>
  <c r="AY302" i="5"/>
  <c r="AT305" i="5"/>
  <c r="AU305" i="5"/>
  <c r="AR305" i="5"/>
  <c r="AS305" i="5"/>
  <c r="AP305" i="5"/>
  <c r="BA305" i="5"/>
  <c r="AZ305" i="5"/>
  <c r="C378" i="5"/>
  <c r="E43" i="5"/>
  <c r="K43" i="5" s="1"/>
  <c r="F36" i="5"/>
  <c r="K36" i="5" s="1"/>
  <c r="J36" i="5" s="1"/>
  <c r="F235" i="5"/>
  <c r="H235" i="5" s="1"/>
  <c r="I235" i="5" s="1"/>
  <c r="C232" i="5" s="1"/>
  <c r="D17" i="1"/>
  <c r="G220" i="5"/>
  <c r="AG27" i="4"/>
  <c r="AH21" i="4" s="1"/>
  <c r="B14" i="4"/>
  <c r="AI27" i="4" s="1"/>
  <c r="C260" i="5"/>
  <c r="N267" i="5"/>
  <c r="C189" i="5"/>
  <c r="N265" i="5"/>
  <c r="C261" i="5"/>
  <c r="C154" i="5"/>
  <c r="C180" i="5" s="1"/>
  <c r="E386" i="5"/>
  <c r="C14" i="8"/>
  <c r="C374" i="5"/>
  <c r="E382" i="5"/>
  <c r="C391" i="5"/>
  <c r="E381" i="5"/>
  <c r="C368" i="5"/>
  <c r="C383" i="5"/>
  <c r="E383" i="5"/>
  <c r="C380" i="5"/>
  <c r="D29" i="8"/>
  <c r="N28" i="1"/>
  <c r="K28" i="1"/>
  <c r="K29" i="8" s="1"/>
  <c r="C370" i="5"/>
  <c r="C376" i="5"/>
  <c r="E376" i="5"/>
  <c r="E389" i="5"/>
  <c r="C389" i="5"/>
  <c r="C390" i="5"/>
  <c r="E390" i="5"/>
  <c r="E384" i="5"/>
  <c r="C384" i="5"/>
  <c r="E372" i="5"/>
  <c r="C372" i="5"/>
  <c r="C387" i="5"/>
  <c r="E387" i="5"/>
  <c r="K23" i="8"/>
  <c r="E385" i="5"/>
  <c r="C385" i="5"/>
  <c r="C379" i="5"/>
  <c r="E379" i="5"/>
  <c r="E369" i="5"/>
  <c r="C369" i="5"/>
  <c r="E371" i="5"/>
  <c r="C371" i="5"/>
  <c r="C377" i="5"/>
  <c r="E377" i="5"/>
  <c r="C373" i="5"/>
  <c r="E373" i="5"/>
  <c r="C375" i="5"/>
  <c r="E375" i="5"/>
  <c r="E388" i="5"/>
  <c r="C388" i="5"/>
  <c r="D21" i="8"/>
  <c r="N20" i="1"/>
  <c r="P20" i="1" s="1"/>
  <c r="W356" i="5"/>
  <c r="W355" i="5"/>
  <c r="W357" i="5"/>
  <c r="AF321" i="5"/>
  <c r="AF323" i="5"/>
  <c r="AF307" i="5"/>
  <c r="AF347" i="5"/>
  <c r="AF297" i="5"/>
  <c r="AF326" i="5"/>
  <c r="AF319" i="5"/>
  <c r="AF316" i="5"/>
  <c r="AF313" i="5"/>
  <c r="AF325" i="5"/>
  <c r="AF341" i="5"/>
  <c r="AF320" i="5"/>
  <c r="AF301" i="5"/>
  <c r="AF330" i="5"/>
  <c r="AF322" i="5"/>
  <c r="AF291" i="5"/>
  <c r="AF314" i="5"/>
  <c r="AF304" i="5"/>
  <c r="AF332" i="5"/>
  <c r="AF303" i="5"/>
  <c r="AF295" i="5"/>
  <c r="AF305" i="5"/>
  <c r="AF300" i="5"/>
  <c r="AF336" i="5"/>
  <c r="AF293" i="5"/>
  <c r="AF317" i="5"/>
  <c r="AF342" i="5"/>
  <c r="AF340" i="5"/>
  <c r="AF298" i="5"/>
  <c r="AF315" i="5"/>
  <c r="AF335" i="5"/>
  <c r="AF308" i="5"/>
  <c r="AF327" i="5"/>
  <c r="AF290" i="5"/>
  <c r="AF292" i="5"/>
  <c r="AF310" i="5"/>
  <c r="AF334" i="5"/>
  <c r="AF338" i="5"/>
  <c r="AF306" i="5"/>
  <c r="AF309" i="5"/>
  <c r="AF324" i="5"/>
  <c r="AF329" i="5"/>
  <c r="AF318" i="5"/>
  <c r="AF302" i="5"/>
  <c r="AF296" i="5"/>
  <c r="AF328" i="5"/>
  <c r="AF311" i="5"/>
  <c r="AF289" i="5"/>
  <c r="AF333" i="5"/>
  <c r="AF312" i="5"/>
  <c r="AF337" i="5"/>
  <c r="AF294" i="5"/>
  <c r="AF331" i="5"/>
  <c r="AF299" i="5"/>
  <c r="AF339" i="5"/>
  <c r="C27" i="1" l="1"/>
  <c r="K27" i="1"/>
  <c r="K28" i="8" s="1"/>
  <c r="P28" i="8" s="1"/>
  <c r="M27" i="1"/>
  <c r="M28" i="8" s="1"/>
  <c r="O28" i="8" s="1"/>
  <c r="D28" i="8"/>
  <c r="BE305" i="5"/>
  <c r="AV305" i="5"/>
  <c r="BE307" i="5"/>
  <c r="BD307" i="5"/>
  <c r="BB305" i="5"/>
  <c r="BC305" i="5"/>
  <c r="AY305" i="5"/>
  <c r="AX305" i="5"/>
  <c r="AT307" i="5"/>
  <c r="AU307" i="5"/>
  <c r="AR307" i="5"/>
  <c r="AS307" i="5"/>
  <c r="AQ307" i="5"/>
  <c r="AP307" i="5"/>
  <c r="BA307" i="5"/>
  <c r="AZ307" i="5"/>
  <c r="M23" i="1"/>
  <c r="M24" i="8" s="1"/>
  <c r="J43" i="5"/>
  <c r="E41" i="5"/>
  <c r="K41" i="5" s="1"/>
  <c r="E33" i="5"/>
  <c r="K33" i="5" s="1"/>
  <c r="J33" i="5" s="1"/>
  <c r="E32" i="5"/>
  <c r="D18" i="8"/>
  <c r="N17" i="1"/>
  <c r="N14" i="1"/>
  <c r="N15" i="8" s="1"/>
  <c r="N13" i="8" s="1"/>
  <c r="N26" i="1"/>
  <c r="N27" i="8" s="1"/>
  <c r="N29" i="8"/>
  <c r="O29" i="8" s="1"/>
  <c r="O28" i="1"/>
  <c r="D25" i="1"/>
  <c r="AF27" i="4"/>
  <c r="B15" i="4"/>
  <c r="D14" i="1"/>
  <c r="D15" i="8" s="1"/>
  <c r="F159" i="5"/>
  <c r="C195" i="5"/>
  <c r="N21" i="8"/>
  <c r="O20" i="1"/>
  <c r="AM318" i="5"/>
  <c r="AM325" i="5"/>
  <c r="AM311" i="5"/>
  <c r="AM317" i="5"/>
  <c r="AM324" i="5"/>
  <c r="AM310" i="5"/>
  <c r="AL328" i="5"/>
  <c r="W328" i="5" s="1"/>
  <c r="AL342" i="5"/>
  <c r="W342" i="5" s="1"/>
  <c r="AL326" i="5"/>
  <c r="W326" i="5" s="1"/>
  <c r="AL307" i="5"/>
  <c r="W307" i="5" s="1"/>
  <c r="AL336" i="5"/>
  <c r="W336" i="5" s="1"/>
  <c r="AL338" i="5"/>
  <c r="W338" i="5" s="1"/>
  <c r="AL296" i="5"/>
  <c r="W296" i="5" s="1"/>
  <c r="AL339" i="5"/>
  <c r="W339" i="5" s="1"/>
  <c r="AL330" i="5"/>
  <c r="W330" i="5" s="1"/>
  <c r="AL335" i="5"/>
  <c r="W335" i="5" s="1"/>
  <c r="AL319" i="5"/>
  <c r="W319" i="5" s="1"/>
  <c r="AL303" i="5"/>
  <c r="W303" i="5" s="1"/>
  <c r="AL337" i="5"/>
  <c r="W337" i="5" s="1"/>
  <c r="AL313" i="5"/>
  <c r="W313" i="5" s="1"/>
  <c r="AL331" i="5"/>
  <c r="W331" i="5" s="1"/>
  <c r="AL292" i="5"/>
  <c r="W292" i="5" s="1"/>
  <c r="AL304" i="5"/>
  <c r="W304" i="5" s="1"/>
  <c r="AL332" i="5"/>
  <c r="W332" i="5" s="1"/>
  <c r="AL320" i="5"/>
  <c r="W320" i="5" s="1"/>
  <c r="AL321" i="5"/>
  <c r="W321" i="5" s="1"/>
  <c r="AL298" i="5"/>
  <c r="W298" i="5" s="1"/>
  <c r="AL329" i="5"/>
  <c r="W329" i="5" s="1"/>
  <c r="AL314" i="5"/>
  <c r="W314" i="5" s="1"/>
  <c r="AL293" i="5"/>
  <c r="W293" i="5" s="1"/>
  <c r="AL290" i="5"/>
  <c r="W290" i="5" s="1"/>
  <c r="AL302" i="5"/>
  <c r="W302" i="5" s="1"/>
  <c r="AL312" i="5"/>
  <c r="W312" i="5" s="1"/>
  <c r="AL334" i="5"/>
  <c r="W334" i="5" s="1"/>
  <c r="AL333" i="5"/>
  <c r="W333" i="5" s="1"/>
  <c r="AL305" i="5"/>
  <c r="W305" i="5" s="1"/>
  <c r="AL297" i="5"/>
  <c r="AL289" i="5"/>
  <c r="W289" i="5" s="1"/>
  <c r="AL327" i="5"/>
  <c r="W327" i="5" s="1"/>
  <c r="AL341" i="5"/>
  <c r="W341" i="5" s="1"/>
  <c r="AL347" i="5"/>
  <c r="W347" i="5" s="1"/>
  <c r="AL291" i="5"/>
  <c r="W291" i="5" s="1"/>
  <c r="AL299" i="5"/>
  <c r="W299" i="5" s="1"/>
  <c r="AL306" i="5"/>
  <c r="W306" i="5" s="1"/>
  <c r="AL301" i="5"/>
  <c r="W301" i="5" s="1"/>
  <c r="AL340" i="5"/>
  <c r="W340" i="5" s="1"/>
  <c r="AL344" i="5"/>
  <c r="W344" i="5" s="1"/>
  <c r="AL295" i="5"/>
  <c r="W295" i="5" s="1"/>
  <c r="AL294" i="5"/>
  <c r="W294" i="5" s="1"/>
  <c r="AM290" i="5"/>
  <c r="AM298" i="5"/>
  <c r="AM296" i="5"/>
  <c r="AM335" i="5"/>
  <c r="AM349" i="5"/>
  <c r="W349" i="5" s="1"/>
  <c r="AM306" i="5"/>
  <c r="AM343" i="5"/>
  <c r="W343" i="5" s="1"/>
  <c r="AM331" i="5"/>
  <c r="AM313" i="5"/>
  <c r="AM291" i="5"/>
  <c r="AM303" i="5"/>
  <c r="AM319" i="5"/>
  <c r="AM340" i="5"/>
  <c r="AM297" i="5"/>
  <c r="AM299" i="5"/>
  <c r="AM344" i="5"/>
  <c r="AM302" i="5"/>
  <c r="AM321" i="5"/>
  <c r="AM342" i="5"/>
  <c r="AM295" i="5"/>
  <c r="AM301" i="5"/>
  <c r="AM337" i="5"/>
  <c r="AM336" i="5"/>
  <c r="AM307" i="5"/>
  <c r="AM292" i="5"/>
  <c r="AM332" i="5"/>
  <c r="AM328" i="5"/>
  <c r="AM353" i="5"/>
  <c r="W353" i="5" s="1"/>
  <c r="AM289" i="5"/>
  <c r="AM345" i="5"/>
  <c r="W345" i="5" s="1"/>
  <c r="AM312" i="5"/>
  <c r="AM341" i="5"/>
  <c r="AM338" i="5"/>
  <c r="AM293" i="5"/>
  <c r="AM327" i="5"/>
  <c r="AM320" i="5"/>
  <c r="AM305" i="5"/>
  <c r="AM294" i="5"/>
  <c r="AM352" i="5"/>
  <c r="W352" i="5" s="1"/>
  <c r="AM314" i="5"/>
  <c r="AM339" i="5"/>
  <c r="AM347" i="5"/>
  <c r="AM346" i="5"/>
  <c r="W346" i="5" s="1"/>
  <c r="AM330" i="5"/>
  <c r="AM304" i="5"/>
  <c r="AM326" i="5"/>
  <c r="AM333" i="5"/>
  <c r="AM334" i="5"/>
  <c r="AM348" i="5"/>
  <c r="AM329" i="5"/>
  <c r="AM354" i="5"/>
  <c r="W354" i="5" s="1"/>
  <c r="AL322" i="5"/>
  <c r="W322" i="5" s="1"/>
  <c r="AL315" i="5"/>
  <c r="W315" i="5" s="1"/>
  <c r="AL323" i="5"/>
  <c r="W323" i="5" s="1"/>
  <c r="AL308" i="5"/>
  <c r="W308" i="5" s="1"/>
  <c r="AL309" i="5"/>
  <c r="W309" i="5" s="1"/>
  <c r="W300" i="5"/>
  <c r="AL316" i="5"/>
  <c r="W316" i="5" s="1"/>
  <c r="AM309" i="5"/>
  <c r="AM308" i="5"/>
  <c r="AM323" i="5"/>
  <c r="AM351" i="5"/>
  <c r="W351" i="5" s="1"/>
  <c r="AM350" i="5"/>
  <c r="W350" i="5" s="1"/>
  <c r="AM316" i="5"/>
  <c r="AM322" i="5"/>
  <c r="AM315" i="5"/>
  <c r="AI327" i="5"/>
  <c r="AI324" i="5"/>
  <c r="AI295" i="5"/>
  <c r="AI356" i="5"/>
  <c r="AI350" i="5"/>
  <c r="AI339" i="5"/>
  <c r="AI325" i="5"/>
  <c r="AI306" i="5"/>
  <c r="AI354" i="5"/>
  <c r="AI316" i="5"/>
  <c r="AI317" i="5"/>
  <c r="AI343" i="5"/>
  <c r="AI311" i="5"/>
  <c r="AI337" i="5"/>
  <c r="AI302" i="5"/>
  <c r="AI312" i="5"/>
  <c r="AI347" i="5"/>
  <c r="AI346" i="5"/>
  <c r="AI291" i="5"/>
  <c r="AI349" i="5"/>
  <c r="AI293" i="5"/>
  <c r="AI348" i="5"/>
  <c r="AI307" i="5"/>
  <c r="AI355" i="5"/>
  <c r="AI340" i="5"/>
  <c r="AI299" i="5"/>
  <c r="AI342" i="5"/>
  <c r="AI326" i="5"/>
  <c r="AI345" i="5"/>
  <c r="AI296" i="5"/>
  <c r="AI301" i="5"/>
  <c r="AI353" i="5"/>
  <c r="AI315" i="5"/>
  <c r="AI344" i="5"/>
  <c r="AI341" i="5"/>
  <c r="AI332" i="5"/>
  <c r="AI322" i="5"/>
  <c r="AI300" i="5"/>
  <c r="AI289" i="5"/>
  <c r="AI298" i="5"/>
  <c r="AI336" i="5"/>
  <c r="AI290" i="5"/>
  <c r="AI309" i="5"/>
  <c r="AI318" i="5"/>
  <c r="AI334" i="5"/>
  <c r="AI338" i="5"/>
  <c r="AI351" i="5"/>
  <c r="AI331" i="5"/>
  <c r="AI321" i="5"/>
  <c r="AI313" i="5"/>
  <c r="AI297" i="5"/>
  <c r="AI292" i="5"/>
  <c r="AI357" i="5"/>
  <c r="AI314" i="5"/>
  <c r="AI328" i="5"/>
  <c r="AI320" i="5"/>
  <c r="AI335" i="5"/>
  <c r="AI303" i="5"/>
  <c r="AI323" i="5"/>
  <c r="AI352" i="5"/>
  <c r="AI330" i="5"/>
  <c r="AI329" i="5"/>
  <c r="AI305" i="5"/>
  <c r="AI333" i="5"/>
  <c r="AI308" i="5"/>
  <c r="AI294" i="5"/>
  <c r="AI304" i="5"/>
  <c r="AI319" i="5"/>
  <c r="AI310" i="5"/>
  <c r="AL311" i="5"/>
  <c r="W311" i="5" s="1"/>
  <c r="AL310" i="5"/>
  <c r="W310" i="5" s="1"/>
  <c r="AL317" i="5"/>
  <c r="W317" i="5" s="1"/>
  <c r="AL318" i="5"/>
  <c r="W318" i="5" s="1"/>
  <c r="AL324" i="5"/>
  <c r="W324" i="5" s="1"/>
  <c r="AL325" i="5"/>
  <c r="W325" i="5" s="1"/>
  <c r="O27" i="1" l="1"/>
  <c r="W348" i="5"/>
  <c r="F130" i="5"/>
  <c r="K25" i="1"/>
  <c r="K26" i="8" s="1"/>
  <c r="AV307" i="5"/>
  <c r="AW307" i="5"/>
  <c r="BC307" i="5"/>
  <c r="BB307" i="5"/>
  <c r="AY307" i="5"/>
  <c r="AX307" i="5"/>
  <c r="C186" i="5"/>
  <c r="E46" i="5" s="1"/>
  <c r="D23" i="1"/>
  <c r="N23" i="1" s="1"/>
  <c r="N24" i="8" s="1"/>
  <c r="O24" i="8" s="1"/>
  <c r="C246" i="5"/>
  <c r="M21" i="1"/>
  <c r="K21" i="1" s="1"/>
  <c r="D29" i="1" s="1"/>
  <c r="M29" i="1" s="1"/>
  <c r="J41" i="5"/>
  <c r="E38" i="5"/>
  <c r="N18" i="8"/>
  <c r="O21" i="8"/>
  <c r="P21" i="8"/>
  <c r="P29" i="8"/>
  <c r="D26" i="8"/>
  <c r="N25" i="1"/>
  <c r="N26" i="8" s="1"/>
  <c r="W297" i="5"/>
  <c r="W360" i="5"/>
  <c r="K23" i="1" l="1"/>
  <c r="P23" i="1" s="1"/>
  <c r="D24" i="8"/>
  <c r="O23" i="1"/>
  <c r="M22" i="8"/>
  <c r="K22" i="8"/>
  <c r="K29" i="1"/>
  <c r="K30" i="8" s="1"/>
  <c r="D30" i="8"/>
  <c r="D21" i="1"/>
  <c r="D22" i="8" s="1"/>
  <c r="K24" i="8"/>
  <c r="P24" i="8" s="1"/>
  <c r="E35" i="5"/>
  <c r="M30" i="8"/>
  <c r="O30" i="8" s="1"/>
  <c r="O29" i="1"/>
  <c r="N21" i="1" l="1"/>
  <c r="P21" i="1" s="1"/>
  <c r="P30" i="8"/>
  <c r="N22" i="8" l="1"/>
  <c r="O22" i="8" s="1"/>
  <c r="O21" i="1"/>
  <c r="P22" i="8" l="1"/>
  <c r="F49" i="5"/>
  <c r="F48" i="5"/>
  <c r="F46" i="5"/>
  <c r="K46" i="5" s="1"/>
  <c r="J46" i="5" s="1"/>
  <c r="F45" i="5"/>
  <c r="F44" i="5"/>
  <c r="K44" i="5" s="1"/>
  <c r="J44" i="5" s="1"/>
  <c r="F43" i="5"/>
  <c r="F42" i="5"/>
  <c r="F41" i="5"/>
  <c r="F40" i="5"/>
  <c r="F38" i="5"/>
  <c r="K38" i="5" s="1"/>
  <c r="J38" i="5" s="1"/>
  <c r="F35" i="5"/>
  <c r="K35" i="5" s="1"/>
  <c r="J35" i="5" s="1"/>
  <c r="F39" i="5"/>
  <c r="K39" i="5" s="1"/>
  <c r="J39" i="5" s="1"/>
  <c r="F32" i="5"/>
  <c r="K32" i="5" s="1"/>
  <c r="J32" i="5" s="1"/>
  <c r="F37" i="5"/>
  <c r="K37" i="5" s="1"/>
  <c r="J37" i="5" s="1"/>
  <c r="F34" i="5"/>
  <c r="K34" i="5" s="1"/>
  <c r="J34" i="5" s="1"/>
  <c r="M15" i="1" l="1"/>
  <c r="K15" i="1" s="1"/>
  <c r="M19" i="1"/>
  <c r="P29" i="1" s="1"/>
  <c r="M16" i="1"/>
  <c r="K16" i="1" s="1"/>
  <c r="M26" i="1"/>
  <c r="M27" i="8" s="1"/>
  <c r="M17" i="1"/>
  <c r="P27" i="1" s="1"/>
  <c r="M18" i="1"/>
  <c r="D18" i="1" s="1"/>
  <c r="M24" i="1"/>
  <c r="O24" i="1" s="1"/>
  <c r="M14" i="1"/>
  <c r="O14" i="1" s="1"/>
  <c r="F131" i="5" l="1"/>
  <c r="M16" i="8"/>
  <c r="O26" i="1"/>
  <c r="D15" i="1"/>
  <c r="D16" i="8" s="1"/>
  <c r="M20" i="8"/>
  <c r="M18" i="8"/>
  <c r="O18" i="8" s="1"/>
  <c r="D16" i="1"/>
  <c r="D17" i="8" s="1"/>
  <c r="M17" i="8"/>
  <c r="O17" i="1"/>
  <c r="P26" i="1"/>
  <c r="P24" i="1"/>
  <c r="M25" i="8"/>
  <c r="O25" i="8" s="1"/>
  <c r="P14" i="1"/>
  <c r="M19" i="8"/>
  <c r="K17" i="1"/>
  <c r="D22" i="1" s="1"/>
  <c r="K18" i="1"/>
  <c r="M15" i="8"/>
  <c r="O15" i="8" s="1"/>
  <c r="P28" i="1"/>
  <c r="K19" i="1"/>
  <c r="K20" i="8" s="1"/>
  <c r="D19" i="1"/>
  <c r="D20" i="8" s="1"/>
  <c r="D19" i="8"/>
  <c r="N18" i="1"/>
  <c r="K17" i="8"/>
  <c r="O27" i="8"/>
  <c r="P27" i="8"/>
  <c r="K16" i="8"/>
  <c r="C17" i="1"/>
  <c r="C18" i="8" s="1"/>
  <c r="K18" i="8" l="1"/>
  <c r="P18" i="8" s="1"/>
  <c r="C25" i="1"/>
  <c r="C26" i="8" s="1"/>
  <c r="C26" i="1"/>
  <c r="C27" i="8" s="1"/>
  <c r="C28" i="8"/>
  <c r="N15" i="1"/>
  <c r="P15" i="1" s="1"/>
  <c r="C15" i="1"/>
  <c r="C16" i="8" s="1"/>
  <c r="C16" i="1"/>
  <c r="C17" i="8" s="1"/>
  <c r="P18" i="1"/>
  <c r="P25" i="8"/>
  <c r="C18" i="1"/>
  <c r="C19" i="8" s="1"/>
  <c r="P17" i="1"/>
  <c r="N16" i="1"/>
  <c r="P16" i="1" s="1"/>
  <c r="C23" i="1"/>
  <c r="C24" i="8" s="1"/>
  <c r="P15" i="8"/>
  <c r="C22" i="1"/>
  <c r="C23" i="8" s="1"/>
  <c r="K19" i="8"/>
  <c r="C29" i="1"/>
  <c r="C30" i="8" s="1"/>
  <c r="C28" i="1"/>
  <c r="C29" i="8" s="1"/>
  <c r="C21" i="1"/>
  <c r="C22" i="8" s="1"/>
  <c r="N19" i="1"/>
  <c r="N20" i="8" s="1"/>
  <c r="O20" i="8" s="1"/>
  <c r="C20" i="1"/>
  <c r="C21" i="8" s="1"/>
  <c r="C24" i="1"/>
  <c r="C25" i="8" s="1"/>
  <c r="C19" i="1"/>
  <c r="C20" i="8" s="1"/>
  <c r="O18" i="1"/>
  <c r="N19" i="8"/>
  <c r="O19" i="8" s="1"/>
  <c r="D23" i="8"/>
  <c r="N22" i="1"/>
  <c r="O19" i="1" l="1"/>
  <c r="N16" i="8"/>
  <c r="O16" i="8" s="1"/>
  <c r="O15" i="1"/>
  <c r="O16" i="1"/>
  <c r="N17" i="8"/>
  <c r="O17" i="8" s="1"/>
  <c r="P19" i="1"/>
  <c r="P20" i="8"/>
  <c r="P22" i="1"/>
  <c r="N23" i="8"/>
  <c r="O22" i="1"/>
  <c r="P19" i="8"/>
  <c r="P16" i="8"/>
  <c r="P17" i="8" l="1"/>
  <c r="P23" i="8"/>
  <c r="O23" i="8"/>
  <c r="G219" i="5"/>
  <c r="K223" i="5" s="1"/>
  <c r="AG297" i="5" l="1"/>
  <c r="AH297" i="5" s="1"/>
  <c r="AG323" i="5"/>
  <c r="AH323" i="5" s="1"/>
  <c r="AG340" i="5"/>
  <c r="AH340" i="5" s="1"/>
  <c r="AG296" i="5"/>
  <c r="AH296" i="5" s="1"/>
  <c r="AG300" i="5"/>
  <c r="AH300" i="5" s="1"/>
  <c r="AG322" i="5"/>
  <c r="AH322" i="5" s="1"/>
  <c r="AG317" i="5"/>
  <c r="AH317" i="5" s="1"/>
  <c r="AG333" i="5"/>
  <c r="AH333" i="5" s="1"/>
  <c r="AG326" i="5"/>
  <c r="AH326" i="5" s="1"/>
  <c r="AG350" i="5"/>
  <c r="AH350" i="5" s="1"/>
  <c r="AG289" i="5"/>
  <c r="AH289" i="5" s="1"/>
  <c r="AG331" i="5"/>
  <c r="AH331" i="5" s="1"/>
  <c r="AG312" i="5"/>
  <c r="AH312" i="5" s="1"/>
  <c r="AG338" i="5"/>
  <c r="AH338" i="5" s="1"/>
  <c r="AG295" i="5"/>
  <c r="AH295" i="5" s="1"/>
  <c r="AG314" i="5"/>
  <c r="AH314" i="5" s="1"/>
  <c r="AG345" i="5"/>
  <c r="AH345" i="5" s="1"/>
  <c r="AG293" i="5"/>
  <c r="AH293" i="5" s="1"/>
  <c r="AG298" i="5"/>
  <c r="AH298" i="5" s="1"/>
  <c r="AG316" i="5"/>
  <c r="AH316" i="5" s="1"/>
  <c r="AG337" i="5"/>
  <c r="AH337" i="5" s="1"/>
  <c r="AG318" i="5"/>
  <c r="AH318" i="5" s="1"/>
  <c r="AG339" i="5"/>
  <c r="AH339" i="5" s="1"/>
  <c r="AG309" i="5"/>
  <c r="AH309" i="5" s="1"/>
  <c r="AG292" i="5"/>
  <c r="AH292" i="5" s="1"/>
  <c r="AG302" i="5"/>
  <c r="AH302" i="5" s="1"/>
  <c r="AG319" i="5"/>
  <c r="AH319" i="5" s="1"/>
  <c r="AG327" i="5"/>
  <c r="AH327" i="5" s="1"/>
  <c r="AG311" i="5"/>
  <c r="AH311" i="5" s="1"/>
  <c r="AG342" i="5"/>
  <c r="AH342" i="5" s="1"/>
  <c r="AG349" i="5"/>
  <c r="AG288" i="5"/>
  <c r="AH288" i="5" s="1"/>
  <c r="AG347" i="5"/>
  <c r="AH347" i="5" s="1"/>
  <c r="AG303" i="5"/>
  <c r="AH303" i="5" s="1"/>
  <c r="AG329" i="5"/>
  <c r="AH329" i="5" s="1"/>
  <c r="AG305" i="5"/>
  <c r="AH305" i="5" s="1"/>
  <c r="AG310" i="5"/>
  <c r="AH310" i="5" s="1"/>
  <c r="AG313" i="5"/>
  <c r="AH313" i="5" s="1"/>
  <c r="AG321" i="5"/>
  <c r="AH321" i="5" s="1"/>
  <c r="AG304" i="5"/>
  <c r="AH304" i="5" s="1"/>
  <c r="AG334" i="5"/>
  <c r="AH334" i="5" s="1"/>
  <c r="AG344" i="5"/>
  <c r="AH344" i="5" s="1"/>
  <c r="AG351" i="5"/>
  <c r="AH351" i="5" s="1"/>
  <c r="AG324" i="5"/>
  <c r="AH324" i="5" s="1"/>
  <c r="AG290" i="5"/>
  <c r="AH290" i="5" s="1"/>
  <c r="AG330" i="5"/>
  <c r="AH330" i="5" s="1"/>
  <c r="AG325" i="5"/>
  <c r="AH325" i="5" s="1"/>
  <c r="AG320" i="5"/>
  <c r="AH320" i="5" s="1"/>
  <c r="AG335" i="5"/>
  <c r="AH335" i="5" s="1"/>
  <c r="AG346" i="5"/>
  <c r="AH346" i="5" s="1"/>
  <c r="AG299" i="5"/>
  <c r="AH299" i="5" s="1"/>
  <c r="AG315" i="5"/>
  <c r="AH315" i="5" s="1"/>
  <c r="AG301" i="5"/>
  <c r="AH301" i="5" s="1"/>
  <c r="AG328" i="5"/>
  <c r="AH328" i="5" s="1"/>
  <c r="AG348" i="5"/>
  <c r="AH348" i="5" s="1"/>
  <c r="AG306" i="5"/>
  <c r="AH306" i="5" s="1"/>
  <c r="AG308" i="5"/>
  <c r="AH308" i="5" s="1"/>
  <c r="AG291" i="5"/>
  <c r="AH291" i="5" s="1"/>
  <c r="AG307" i="5"/>
  <c r="AH307" i="5" s="1"/>
  <c r="AG332" i="5"/>
  <c r="AH332" i="5" s="1"/>
  <c r="AG336" i="5"/>
  <c r="AH336" i="5" s="1"/>
  <c r="AG341" i="5"/>
  <c r="AH341" i="5" s="1"/>
  <c r="AG343" i="5"/>
  <c r="AH343" i="5" s="1"/>
  <c r="AG294" i="5"/>
  <c r="AH294" i="5" s="1"/>
  <c r="F209" i="5" l="1"/>
  <c r="AH349" i="5"/>
  <c r="F210" i="5" s="1"/>
  <c r="F211" i="5" s="1"/>
  <c r="E45" i="5" l="1"/>
  <c r="G211" i="5"/>
  <c r="K45" i="5" l="1"/>
  <c r="K50" i="5" s="1"/>
  <c r="E50" i="5"/>
  <c r="M25" i="1" l="1"/>
  <c r="O25" i="1" s="1"/>
  <c r="J45" i="5"/>
  <c r="P25" i="1" l="1"/>
  <c r="O36" i="1" s="1"/>
  <c r="M26" i="8"/>
  <c r="P26" i="8" s="1"/>
  <c r="O26" i="8" l="1"/>
  <c r="X27" i="1"/>
  <c r="O37" i="1"/>
  <c r="O38" i="1" s="1"/>
  <c r="O34" i="8"/>
  <c r="O39" i="8"/>
  <c r="O35" i="8" l="1"/>
  <c r="O36" i="8" s="1"/>
  <c r="O42" i="8"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HP</author>
  </authors>
  <commentList>
    <comment ref="AA6" authorId="0" shapeId="0" xr:uid="{00000000-0006-0000-0100-000001000000}">
      <text>
        <r>
          <rPr>
            <b/>
            <sz val="9"/>
            <color indexed="81"/>
            <rFont val="Tahoma"/>
            <family val="2"/>
            <charset val="238"/>
          </rPr>
          <t>0 - lakossági ár</t>
        </r>
        <r>
          <rPr>
            <sz val="9"/>
            <color indexed="81"/>
            <rFont val="Tahoma"/>
            <family val="2"/>
            <charset val="238"/>
          </rPr>
          <t xml:space="preserve">
</t>
        </r>
        <r>
          <rPr>
            <b/>
            <sz val="9"/>
            <color indexed="81"/>
            <rFont val="Tahoma"/>
            <family val="2"/>
            <charset val="238"/>
          </rPr>
          <t>1 - viszonteladói ár</t>
        </r>
        <r>
          <rPr>
            <sz val="9"/>
            <color indexed="81"/>
            <rFont val="Tahoma"/>
            <family val="2"/>
            <charset val="238"/>
          </rPr>
          <t xml:space="preserve"> 
</t>
        </r>
        <r>
          <rPr>
            <b/>
            <sz val="9"/>
            <color indexed="81"/>
            <rFont val="Tahoma"/>
            <family val="2"/>
            <charset val="238"/>
          </rPr>
          <t>2 - V.I.P. ár</t>
        </r>
      </text>
    </comment>
  </commentList>
</comments>
</file>

<file path=xl/sharedStrings.xml><?xml version="1.0" encoding="utf-8"?>
<sst xmlns="http://schemas.openxmlformats.org/spreadsheetml/2006/main" count="3214" uniqueCount="672">
  <si>
    <t>8000 Székesfehérvár, Budai út 79.</t>
  </si>
  <si>
    <t>Telefon/Fax: (22) 300-129</t>
  </si>
  <si>
    <t>Nyitva tartás: H-P: 8-12, 13-17</t>
  </si>
  <si>
    <t>Ssz</t>
  </si>
  <si>
    <t>Megnevezés</t>
  </si>
  <si>
    <t>M.e.</t>
  </si>
  <si>
    <t>Kedv.</t>
  </si>
  <si>
    <t xml:space="preserve"> Nettó egységár</t>
  </si>
  <si>
    <t xml:space="preserve">Nettó összesen </t>
  </si>
  <si>
    <t xml:space="preserve">Árajánlatunk tájékoztató jellegű, helyszíni felémérés nélkül, az árajánlatkérő által megadott adatok alapján készült. </t>
  </si>
  <si>
    <t>Összesen nettó</t>
  </si>
  <si>
    <t>Fizetési feltételek:</t>
  </si>
  <si>
    <t>Összesen bruttó *</t>
  </si>
  <si>
    <t>Kelt:</t>
  </si>
  <si>
    <t>Érvérnyes:</t>
  </si>
  <si>
    <t>web-árkalkulátor</t>
  </si>
  <si>
    <t>méret</t>
  </si>
  <si>
    <t>fehér</t>
  </si>
  <si>
    <t>színes</t>
  </si>
  <si>
    <t>2250 x 2000</t>
  </si>
  <si>
    <t>2250 x 2125</t>
  </si>
  <si>
    <t>2375 x 2250</t>
  </si>
  <si>
    <t>2750 x 2000</t>
  </si>
  <si>
    <t>3250 x 2000</t>
  </si>
  <si>
    <t>3250 x 2125</t>
  </si>
  <si>
    <t>3250 x 2250</t>
  </si>
  <si>
    <t>3500 x 2000</t>
  </si>
  <si>
    <t>3750 x 2000</t>
  </si>
  <si>
    <t>3750 x 2125</t>
  </si>
  <si>
    <t>3750 x 2250</t>
  </si>
  <si>
    <t>4000 x 2000</t>
  </si>
  <si>
    <t>4250 x 2000</t>
  </si>
  <si>
    <t>4250 x 2125</t>
  </si>
  <si>
    <t>4250 x 2250</t>
  </si>
  <si>
    <t>4500 x 2000</t>
  </si>
  <si>
    <t>4500 x 2125</t>
  </si>
  <si>
    <t>4500 x 2250</t>
  </si>
  <si>
    <t>4750 x 2000</t>
  </si>
  <si>
    <t>4750 x 2125</t>
  </si>
  <si>
    <t>4750 x 2250</t>
  </si>
  <si>
    <t>5000 x 2000</t>
  </si>
  <si>
    <t>5500 x 2000</t>
  </si>
  <si>
    <t>5500 x 2125</t>
  </si>
  <si>
    <t>5500 x 2250</t>
  </si>
  <si>
    <t>Árajánlatadó:</t>
  </si>
  <si>
    <t>db</t>
  </si>
  <si>
    <t>Nettó lista egységár</t>
  </si>
  <si>
    <t>maller@maller.hu</t>
  </si>
  <si>
    <t>www.maller.hu</t>
  </si>
  <si>
    <t>min. 100 mm</t>
  </si>
  <si>
    <t>off</t>
  </si>
  <si>
    <t>mm</t>
  </si>
  <si>
    <t>min.</t>
  </si>
  <si>
    <t>garázskapu</t>
  </si>
  <si>
    <t>Beépítési helyigény</t>
  </si>
  <si>
    <t>szélesség</t>
  </si>
  <si>
    <t>magasság</t>
  </si>
  <si>
    <t>kézi</t>
  </si>
  <si>
    <t>motoros</t>
  </si>
  <si>
    <t>Rendelési méret:</t>
  </si>
  <si>
    <t>oldalnézet</t>
  </si>
  <si>
    <t>K</t>
  </si>
  <si>
    <t>M</t>
  </si>
  <si>
    <t>L</t>
  </si>
  <si>
    <t>2250 x 1875</t>
  </si>
  <si>
    <t>2375 x 1875</t>
  </si>
  <si>
    <t>2500 x 1875</t>
  </si>
  <si>
    <t>2500 x 2375</t>
  </si>
  <si>
    <t>2500 x 2750</t>
  </si>
  <si>
    <t>2750 x 2375</t>
  </si>
  <si>
    <t>2750 x 2750</t>
  </si>
  <si>
    <t>3000 x 2375</t>
  </si>
  <si>
    <t>2625 x 2125</t>
  </si>
  <si>
    <t>LTE 40 szigeteletlen</t>
  </si>
  <si>
    <t>ssz</t>
  </si>
  <si>
    <t>2190 x 2080</t>
  </si>
  <si>
    <t>2190 x 1955</t>
  </si>
  <si>
    <t>2315 x 1955</t>
  </si>
  <si>
    <t>2315 x 2205</t>
  </si>
  <si>
    <t>2440 x 1955</t>
  </si>
  <si>
    <t>2440 x 2205</t>
  </si>
  <si>
    <t>2940 x 2080</t>
  </si>
  <si>
    <t>S bordázott</t>
  </si>
  <si>
    <t>M bordázott</t>
  </si>
  <si>
    <t>nincs</t>
  </si>
  <si>
    <t>S kazettás</t>
  </si>
  <si>
    <t xml:space="preserve">LPU 40 42 mm szigetelt </t>
  </si>
  <si>
    <t xml:space="preserve">színes </t>
  </si>
  <si>
    <t>dekor</t>
  </si>
  <si>
    <t>ProMatic</t>
  </si>
  <si>
    <t>torzió</t>
  </si>
  <si>
    <t>húzó</t>
  </si>
  <si>
    <t>motor benyúlása mm</t>
  </si>
  <si>
    <t>szemöldökigény</t>
  </si>
  <si>
    <t>távirányító a motorhoz</t>
  </si>
  <si>
    <t>nyílásméret</t>
  </si>
  <si>
    <t>számított érték</t>
  </si>
  <si>
    <t>mm magasság (25)</t>
  </si>
  <si>
    <t>rugós (26)</t>
  </si>
  <si>
    <t>szemöldökigény kézi kapunál (27)</t>
  </si>
  <si>
    <t>szemöldökigény motoros kapunál (28)</t>
  </si>
  <si>
    <t>sínnel (20)</t>
  </si>
  <si>
    <t>sínbenyúlás (21)</t>
  </si>
  <si>
    <t>távadóval (22)</t>
  </si>
  <si>
    <t>mm szélesség (24. oszlopból olvasható ki)</t>
  </si>
  <si>
    <t>felület</t>
  </si>
  <si>
    <t>szigetelés</t>
  </si>
  <si>
    <t>kapu oszlopa:</t>
  </si>
  <si>
    <t>1 fehér</t>
  </si>
  <si>
    <t>2 kívül színes</t>
  </si>
  <si>
    <t>3 dekor</t>
  </si>
  <si>
    <t>szín</t>
  </si>
  <si>
    <t>felület a tizedes érték</t>
  </si>
  <si>
    <t>szín a százados érték</t>
  </si>
  <si>
    <t>nincs ilyen motívum</t>
  </si>
  <si>
    <t>van szükségkioldó, melynek ára:</t>
  </si>
  <si>
    <t>Ft+Áfa/db</t>
  </si>
  <si>
    <t>kapu beépítési díja</t>
  </si>
  <si>
    <t>bemeneti érték a főoldalról</t>
  </si>
  <si>
    <t>M kaz.megsz.</t>
  </si>
  <si>
    <t>nincs ilyen</t>
  </si>
  <si>
    <t>Kapu mérete, típusa:</t>
  </si>
  <si>
    <t>V.I.P.</t>
  </si>
  <si>
    <t>Sorszám:</t>
  </si>
  <si>
    <t xml:space="preserve"> Vállalkozó:</t>
  </si>
  <si>
    <t>Megrendelő:</t>
  </si>
  <si>
    <t xml:space="preserve"> név</t>
  </si>
  <si>
    <t xml:space="preserve"> cím</t>
  </si>
  <si>
    <t xml:space="preserve"> telefon</t>
  </si>
  <si>
    <t>Megrendelés</t>
  </si>
  <si>
    <t>Nettó egységár</t>
  </si>
  <si>
    <t>Összesen bruttó</t>
  </si>
  <si>
    <t>Előleg összege</t>
  </si>
  <si>
    <t>Számlszáma</t>
  </si>
  <si>
    <t>Ki-/Elszállítás előtt fizetendő fennmaradó</t>
  </si>
  <si>
    <t>végösszeg</t>
  </si>
  <si>
    <t>Megrendelés dátuma:</t>
  </si>
  <si>
    <t>P.H.</t>
  </si>
  <si>
    <t>Megrendelő</t>
  </si>
  <si>
    <t>Áfa ( 27 %)</t>
  </si>
  <si>
    <t>motor telepítési díja (egyedileg megadva)</t>
  </si>
  <si>
    <t>2375 x 2080</t>
  </si>
  <si>
    <t>2500 x 2080</t>
  </si>
  <si>
    <t>belülnézet</t>
  </si>
  <si>
    <t>Nézzünk a full és a fapados között egy olyan variációt, ami még megfelelő.</t>
  </si>
  <si>
    <t>Utcára nyílik-e a kapu vagy udvarra?</t>
  </si>
  <si>
    <t>(Személyforgalmat terveznek-e a garázskapun keresztül?)</t>
  </si>
  <si>
    <t>Ki tudnánk menni a helyszínre, hogy még jobban személyre szabhassuk az ajánlatunkat?</t>
  </si>
  <si>
    <t>Van-e a garázsnak közös szigeteletlen fala a házzal?</t>
  </si>
  <si>
    <t>Ha a legcsendesebb mozgású motort tudnánk felszerelni, az tetszene önnek?</t>
  </si>
  <si>
    <t>Milyen színű nyílászárók vannak a házon? Szeretné, hogy azokkal egyező legyen a kapuja?</t>
  </si>
  <si>
    <t>Ha meg tudnánk oldani, hogy a kapuját kívülről ön és csak ön távirányító nélkül is ki tudja nyitni, az érdekelné?</t>
  </si>
  <si>
    <t>Hány évig tervezi használni a garázskaput? Ennyi időre kiszámolva, lebontva a különbség: …Ft/hónap /nap</t>
  </si>
  <si>
    <t>Szeretné-e a kaput messziről is nyitni?</t>
  </si>
  <si>
    <t>Szeretné-e, hogy a garázskapujával megegyező megjelenésű legyen az ajtaja, kertkapuja?</t>
  </si>
  <si>
    <t>A gyerek(ek) védelme érdekében tegyünk-e bele egy plusz védelmi elemet?</t>
  </si>
  <si>
    <t>Szeretné, ha a távirányítója extra, egyedi megjelenésű lenne?</t>
  </si>
  <si>
    <t>Előfordulhat-e, hogy nincs önnél távirányító , amikor be szeretne menni a garázsba?</t>
  </si>
  <si>
    <t>Hallott már olyat, hogy a garázsból reggelre elvitték az autót? ...Ez jó megoldás lenne.</t>
  </si>
  <si>
    <t>Különálló garázs vagy a házzal egybe van építve?</t>
  </si>
  <si>
    <t>Szeretné, ha nem kellene keresgélnie a távirányítót a kocsiban?</t>
  </si>
  <si>
    <t>Szeretné, ha reggel nem kellene keresgélnie a távadót, mert egy mindig lenne az ajtó mellett a falon?</t>
  </si>
  <si>
    <t>Van gyerek, kutya vagy macska a családban? A plusz biztonság fontos lehet-e?</t>
  </si>
  <si>
    <t>Ha a riasztó, a kerti világítás, a kisajtó mágneszára is vezérelhető lenne a garázskapu távirányítójával, az kényelmet nyújtana?</t>
  </si>
  <si>
    <t>Ha meg lehetne oldani, hogy egy távirányítóval működjön mindkét motor, az praktikus lenne?</t>
  </si>
  <si>
    <t>Házzal egybe építetthez szigeteltet javaslok, míg a különállóhoz elég lehet a szigeteletlen is.</t>
  </si>
  <si>
    <t>Biztonsági kérdést vet fel, főleg, ha a garázsból be lehet jutni a lakásba.</t>
  </si>
  <si>
    <t>Ha kilóg, akkor fontos lehet-e, hogy a lehető leggyorsabban nyíljon ki a garázskapu? A Supramatic motor másfélszer gyorsabban nyitja ki a kaput, mint a Promatic motor.</t>
  </si>
  <si>
    <t>Volt-e már betörés bárhol a családban? Fontos szempont lehet-e, hogy a motoros garázskapu megfeleljen a WK2, teljes körű mechanikai védelmi szabályoknak, amit a biztosító elfogad?</t>
  </si>
  <si>
    <t>Biztonság</t>
  </si>
  <si>
    <t>Szigetelés</t>
  </si>
  <si>
    <t>Fontos önnek a fűtésszámla?</t>
  </si>
  <si>
    <t>Gondolja végig: a garázskapu valószínűleg a legnagyobb felületű nyílászáró a házon, így a rajta keletkező hőveszteség is jelentős lehet.</t>
  </si>
  <si>
    <t>Előfordulhat, hogy télen szeretne barkácsolni, dolgozni a garázsban?</t>
  </si>
  <si>
    <t>Csak parkolásra szeretné használni a garázst?</t>
  </si>
  <si>
    <t>Szín</t>
  </si>
  <si>
    <t>A Hörmann garázskapuk alapvetően fehérek. Ezen kívül rendelhető több féle gyári szín is, melyet a gyárban égetnek rá a felületre. Ezektől eltérő színekre is van lehetőség, akár a teljes színskálából is lehet választani.</t>
  </si>
  <si>
    <t>Minden nyílászárója fa, vagy fahatású műanyag?</t>
  </si>
  <si>
    <t>Egyedi, exkluzív kivitelben rendelhetőek fából készült kapuk is.</t>
  </si>
  <si>
    <t>(Sok) Higgye el mások is vannak ezzel így. Praxisomból tudom, hogy ez nem kis beruházás. Nézzük meg, hogy alakíthatjuk át.</t>
  </si>
  <si>
    <t>Ha egy apró kis kiegészítő ékszerrel fel tudnánk dobni a kaput, az tetszene önnek?</t>
  </si>
  <si>
    <t>Praktikus lenne, ha a nagy 200 kg-os kapuját nem kellene fölöslegesen működtetnie, amikor egy ajtó is elég lenne?</t>
  </si>
  <si>
    <t>Kilincs</t>
  </si>
  <si>
    <t>Bevilágító ablak</t>
  </si>
  <si>
    <t>Van-e természetes fény a garázsban? Hasznos lenne-e, ha nem kellene állandóan felkapcsolni a villanyt, ha ki kell menni valamiért a garázsba?</t>
  </si>
  <si>
    <t>Ha meg tudnánk oldani, hogy ablakos legyen a garázskapu, akkor az tetszene Önnek?</t>
  </si>
  <si>
    <t>Supramatic motor Promatic helyett</t>
  </si>
  <si>
    <t>Nyomógomb</t>
  </si>
  <si>
    <t>A falra felszerelt nyomógomb mindig kéznél van. Ideális megoldás a kapu hétköznapi működtetéséhez. Az egyetlen tapasztalati hátránya, hogy a kiskorú gyerekek összevesznek reggelente, hogy ki nyissa ki a kaput.</t>
  </si>
  <si>
    <t>RedDot Design díjas távirányító</t>
  </si>
  <si>
    <t>Ipari szépségdíjas távirányítónk szinte már ékszer. Díszdobozban akár ajándékként is megállja a helyét.</t>
  </si>
  <si>
    <t>Kódkapcsoló, ujjlenyomat olvasó</t>
  </si>
  <si>
    <t>Fotocella</t>
  </si>
  <si>
    <t>A kapu egyszeri gombnyomásra zár. Bár minden motor nyomatékérzékelős, fontos tudni, hogy a fizikai kontaktus kialakulása után képes érzékeli az akadályt. Ez azt jelenti, hogy ha a lefele mozgó kapu alatt átfut az Ön gyermeke, akkor rácsuk a kapu a fejére, kicsit megnyomja, majd érzékeli az akadályt és visszanyit.</t>
  </si>
  <si>
    <t>A fizikai kontaktus kialakulása nélkül is van mód a gyermek érzékelésére. Ha lesz a kapun egy fotocella, akkor a tokra kerülő optikai adó vevő közé lépve a fény útja megszakad, amit a kapu akadályként érzékelve megáll és visszanyit. Így még a haja szála sem görbülhet gyermekének.</t>
  </si>
  <si>
    <t>Kérdések és javaslatok a garázskapu kiválasztásához</t>
  </si>
  <si>
    <t>A Hörmann garázskapuk rendelhetők fafóliás felülettel is. Ezek tökéletesen fahatású megjelenést biztosítanak a fém tartósságával ötvözve.</t>
  </si>
  <si>
    <t>Csak a Hörmannál van plusz feltolás elleni védelem. A kintről akár feszítővassal megemelt garázskapu nyitását egy szabadalmaztatott kampós szerkezet gátolja, míg a többi kapunál a láncos hajtáson keresztül a motor kapja a feszítő erőt. (Erről videó is látható.)</t>
  </si>
  <si>
    <t>Mellékajtó, átjáró ajtó</t>
  </si>
  <si>
    <t>A kapuval megegyező motívumú mellékajtók tökéletesen harmonizálnak a garázskapuéval, így kölcsönöznek egységes, stílusos megjelenést a háznak.</t>
  </si>
  <si>
    <t>A Hörmanné a legcsendesebb működésű motor a hazai piacon. A kevlár szíjas, bakelitkorongos hajtás sokkal csendesebb működést eredményez, mint egy láncos. Arról nem is beszélve, hogy sokkal kisebb a karbantartás igénye, ugyanis nem kell kenegetni a láncot. És persze nem is csöpög le a kenőanyag a kocsira.</t>
  </si>
  <si>
    <t>Nyugodtan meg lehet állni a garázskapu előtt kocsival, vagy esetleg kilóg az autó hátulja a járdára, esetleg az úttestre?</t>
  </si>
  <si>
    <t>Előző kérdéssel szorosan összefügghet, mivel a beépített vevő alapvetően arra való, hogy a kapu előtt megállva lehessen működtetni a kaput és nem az utcába kanyarodva, több száz méterről. Alapvetően rálátással szabad csak működtetni a motoros hajtást. Ha szükséges a távolról nyitás, akkor erősítő antennás vevővel kell felszerelni a kaput.</t>
  </si>
  <si>
    <t>Szivartöltős távirányító</t>
  </si>
  <si>
    <t>A szivartöltőbe helyezhető távirányító mindig kéznél van. Kutatási eredmények alapján megállapítható, hogy sokkal könnyebben rááll az ember keze a szivartöltőbe helyezett távirányító megnyomására, mint a kulcstartón való keresgélés utáni gombnyomásra. A kocsiból legkényelmesebben ezzel lehet működtetni a kaput. Ráadásul a kocsikulcsra sem kell plusz távirányítót helyezni.</t>
  </si>
  <si>
    <t>Rotamatic/Lineamatic kertkapu mozgató motorok</t>
  </si>
  <si>
    <t>Ebben az esetben javasolt a szigetelt garázskapu, ami kellően tudja temperálni a garázst.</t>
  </si>
  <si>
    <t>Ha fűtőtestet terveznek temperálás miatt, akkor alapvetően elég a vékonyabb (2 cm vastag) szigetelésű garázskapu is. Ez a kapu egy kis odafigyeléssel még egy fűtetlen, különálló garázsban is megtarthatja azt a hőmérsékletet, amellyel télen még a csapok sem fagynak el a garázsban.</t>
  </si>
  <si>
    <t>Amennyiben nem csak parkolásra, pakolásra használná a garázskaput, és még esetleg fűteni is szeretné a garázst, akkor a vastag (4,2 cm-es) szigetelésű garázskapu jelenti az ideális választást, aminek a hőszigetelési értéke jobb mint egy átlagos műanyag ablaké. (Fontos különbség, hogy a kapu nem zár légmentesen, mint egy ablak, de a beépítési hézagokkal együtt van bevizsgálva a hőszigetelési értéke.)</t>
  </si>
  <si>
    <t>Plusz rádiós vevőegység</t>
  </si>
  <si>
    <t>Van-e kertkapu? Annak a motoros nyitását megoldották már?</t>
  </si>
  <si>
    <t>A Hörmann toló és nyíló kapumozgató motor ideális megoldás a kertkapuk mozgatásához.</t>
  </si>
  <si>
    <t>Ha mindkét kapun Hörmann motor van, akkor értelemszerűen egy távirányítóval lehet működtetni mindkét kaput. Ha a kertkapun már van másik, nem Hörmann motor, akkor abba bele tudunk szerelni egy Hörmann vevőt, amin keresztül már a Hörmann távirányítóval lehet működtetni a kertkaput is.</t>
  </si>
  <si>
    <t xml:space="preserve">Hörmann vevőegységgel működtetni lehet szinte bármilyen elektromos berendezést. </t>
  </si>
  <si>
    <t>Fentiek alapján, ez így összesen:…Ft</t>
  </si>
  <si>
    <t>Ez a full megoldás. Amit most kiválasztott, azok a paraméterek felelnek meg az ön igényeinek. (Megértem, ha sokallja. Nézzük meg, hogy mi fér bele az elképzelésébe. Mit húzhatunk ki, hogy olcsóbb legyen a végösszeg.)</t>
  </si>
  <si>
    <t>Praktikus lenne, ha meg lehetne oldani, hogy ne kelljen állandóan Praktikus lenne, ha ön úgy tudna kimenni a garázsból biciklizni, kertészkedni, hogy nem kellene a távirányítót magával vinnie?</t>
  </si>
  <si>
    <t>Egy bejárati ajtó vagy a kapuba szerelt átjáró ajtó ideális megoldás lehet erre a problémára.</t>
  </si>
  <si>
    <t>Például nem csak fekete kilincs létezik. Rendelhető bronz, alumínium, ezüst és sárgaréz.</t>
  </si>
  <si>
    <t>Praktikus lenne, ha meg lehetne oldani, hogy ne kelljen állandóan kinyitni a kaput, ha például csak a biciklivel szeretne kimenni, vagy csak a kerti szerszámokért kell beszaladni a garázsba?</t>
  </si>
  <si>
    <t>A WK2-es minősítéssel ellátott kapu+motor teljes körű mechanikai védelmét a biztosítók is elfogadják.</t>
  </si>
  <si>
    <t>Lezárás</t>
  </si>
  <si>
    <t>Az extrákra kérjen komplett ajánlatot, mert a kalkulátor nem tartalmaz minden kiegészítőt.</t>
  </si>
  <si>
    <t>22/300-129</t>
  </si>
  <si>
    <t>Tel:</t>
  </si>
  <si>
    <t>(listaárból megadva / korrekció)</t>
  </si>
  <si>
    <t>motor ára</t>
  </si>
  <si>
    <t>6000 x 2000</t>
  </si>
  <si>
    <t>6000 x 2125</t>
  </si>
  <si>
    <t>6000 x 2250</t>
  </si>
  <si>
    <t>Szállítási határidő álatlában:</t>
  </si>
  <si>
    <t>Supramatic motor felára</t>
  </si>
  <si>
    <t xml:space="preserve"> Készpénzben vagy előre utalással</t>
  </si>
  <si>
    <t xml:space="preserve">     Készpénz vagy átutalás</t>
  </si>
  <si>
    <t xml:space="preserve">egy sor ablak </t>
  </si>
  <si>
    <t>db/sor</t>
  </si>
  <si>
    <t>egy sor ablak felára (táblázatból kiemelve) (35)</t>
  </si>
  <si>
    <t>+Áfa</t>
  </si>
  <si>
    <t>SupraMatic P</t>
  </si>
  <si>
    <t>egy sor ablak felára S0</t>
  </si>
  <si>
    <t>Ecolift motor</t>
  </si>
  <si>
    <t>Promatic motor</t>
  </si>
  <si>
    <t>Supramatic motor</t>
  </si>
  <si>
    <t>motor</t>
  </si>
  <si>
    <t>nem elég</t>
  </si>
  <si>
    <t xml:space="preserve">   Kérem, töltse ki az alábbi adatokat:</t>
  </si>
  <si>
    <t xml:space="preserve"> gyártásig)</t>
  </si>
  <si>
    <r>
      <t xml:space="preserve">1-6 hét </t>
    </r>
    <r>
      <rPr>
        <sz val="8"/>
        <color indexed="63"/>
        <rFont val="Arial CE"/>
        <charset val="238"/>
      </rPr>
      <t>(raktárkészlettől az egyedi</t>
    </r>
  </si>
  <si>
    <t>fotocella</t>
  </si>
  <si>
    <t>plusz vevő</t>
  </si>
  <si>
    <t>Ők is a minőséget válaszották:</t>
  </si>
  <si>
    <t>Erre a kapuméretre van kiemelt akciós ajánlatunk!</t>
  </si>
  <si>
    <t>1 online 2 személyes</t>
  </si>
  <si>
    <t>km választó: Szfvártól hány kilométer</t>
  </si>
  <si>
    <t>10-20 km</t>
  </si>
  <si>
    <t>0-5 km</t>
  </si>
  <si>
    <t>5-10 km</t>
  </si>
  <si>
    <t>60-70 km</t>
  </si>
  <si>
    <t>50-60 km</t>
  </si>
  <si>
    <t>80-90 km</t>
  </si>
  <si>
    <t>90-100 km</t>
  </si>
  <si>
    <t>100-110 km</t>
  </si>
  <si>
    <t>110-120 km</t>
  </si>
  <si>
    <t>120-130 km</t>
  </si>
  <si>
    <t>130-140 km</t>
  </si>
  <si>
    <t>150-160 km</t>
  </si>
  <si>
    <t>160-170 km</t>
  </si>
  <si>
    <t>170-180 km</t>
  </si>
  <si>
    <t>180-190 km</t>
  </si>
  <si>
    <t>190-200 km</t>
  </si>
  <si>
    <t>200-210 km</t>
  </si>
  <si>
    <t>210-220 km</t>
  </si>
  <si>
    <t>220-230 km</t>
  </si>
  <si>
    <t>230-240 km</t>
  </si>
  <si>
    <t>240-250 km</t>
  </si>
  <si>
    <t>70-80 km</t>
  </si>
  <si>
    <t>140-150 km</t>
  </si>
  <si>
    <t>250 km fölött</t>
  </si>
  <si>
    <t>kiszállás díja (táblázatból számolva)</t>
  </si>
  <si>
    <t>felmérési díj</t>
  </si>
  <si>
    <t>kiskapu kiszállítási díj</t>
  </si>
  <si>
    <t>nagykapu kiszállítási díj</t>
  </si>
  <si>
    <t>egyedi ajánlat</t>
  </si>
  <si>
    <t>40-50 km</t>
  </si>
  <si>
    <t>30-40 km</t>
  </si>
  <si>
    <t>20-30 km</t>
  </si>
  <si>
    <t>felmérés díja táblázatól számolva)</t>
  </si>
  <si>
    <t>1= 3500mm-ig kiskapu, fölötte nagykapu =2</t>
  </si>
  <si>
    <t>80 km/óra</t>
  </si>
  <si>
    <t>utazási munkabér 1 fő esetén</t>
  </si>
  <si>
    <t>utazási munkabér 2 fő esetén</t>
  </si>
  <si>
    <t>üzemanyag</t>
  </si>
  <si>
    <t>utazási órabér:</t>
  </si>
  <si>
    <t>1 fő esetén összesen</t>
  </si>
  <si>
    <t>2 fő esetén összesen</t>
  </si>
  <si>
    <t xml:space="preserve">Győr, </t>
  </si>
  <si>
    <t xml:space="preserve">Balatondüred, Komárom, </t>
  </si>
  <si>
    <t>Veszprém, Tata, Tatabánya</t>
  </si>
  <si>
    <t xml:space="preserve">Baja, </t>
  </si>
  <si>
    <t xml:space="preserve">Esztergom, Szekszárd, Kiskőrős, </t>
  </si>
  <si>
    <t xml:space="preserve">Szolnok, Pécs, </t>
  </si>
  <si>
    <t xml:space="preserve">Pápa, Tapolca, Kiskőrös, </t>
  </si>
  <si>
    <t>Kaposvár, Keszthely, Sárvár, Modonmagyaróvár</t>
  </si>
  <si>
    <t xml:space="preserve">Mór, Várpalota, Polgárdi, </t>
  </si>
  <si>
    <t>Lovasberény,  Csákvár,  Bodajk, Szabadegyháza</t>
  </si>
  <si>
    <t xml:space="preserve">Bicske, Siófok, Dunaújváros, Érd, </t>
  </si>
  <si>
    <t xml:space="preserve">Martonvásár, </t>
  </si>
  <si>
    <t xml:space="preserve">Tapolca, </t>
  </si>
  <si>
    <t xml:space="preserve">Jászberény, Hatvan, </t>
  </si>
  <si>
    <t>Csorna, Kaposvár, Lajosmizse, Marcali, Vác</t>
  </si>
  <si>
    <t xml:space="preserve">Lenti, </t>
  </si>
  <si>
    <t xml:space="preserve">Barcs, </t>
  </si>
  <si>
    <t>Szeged, Miskolc</t>
  </si>
  <si>
    <t xml:space="preserve">Eger, </t>
  </si>
  <si>
    <t>Szombathely, Zalaegerszeg, Sopron, Heves</t>
  </si>
  <si>
    <t>Tiszafüred,</t>
  </si>
  <si>
    <t>Debrecen, Nyíregyháza, Békéscsaba</t>
  </si>
  <si>
    <t>oda-vissza út:</t>
  </si>
  <si>
    <t xml:space="preserve"> -   Ft </t>
  </si>
  <si>
    <t>A mai napon Megrendelő megrendeli Vállalkozó elvállalja a táblázat szerinti tételek teljesítését. Amennyiben a szállítás nem szerepel külön tételként, a fenti árak telephelyi átadási árak, nem tartalmazzák a helyszínre szállítás költségét. Amennyiben a megrendelt termék kiszállításra vagy beépítésre kertült, de a termék vagy szolgáltatás díja igazolhatóan nem rendezett, úg Megrendelő felhatalmazza Vállalkozót a beépített termék kibontására, a kiszállított termék elszállítására. Megrendelő hozzájárul, hogy a megrendelés tárgyát képező termékről Vállalkozó fényképet készítsen, és azt sajátjaként kezelve, szabadon felhasználhassa. A Megrendelő a www.maller.hu weboldalon is megtalálható ÁESZF-et megismerte, a benne foglaltakat elfogadja.</t>
  </si>
  <si>
    <t>Anyagdíj 50%-a előleg, a másik  50% és a szolgáltatás díja teljesítéskor esedékes.</t>
  </si>
  <si>
    <t>e-naplós?</t>
  </si>
  <si>
    <t>FMV díja (egyedileg megadva)</t>
  </si>
  <si>
    <t>Maller.hu Kft.</t>
  </si>
  <si>
    <t>Felmérési lap</t>
  </si>
  <si>
    <t>38-ig 3000 mm-es</t>
  </si>
  <si>
    <t>3-as=LPU</t>
  </si>
  <si>
    <t>Akciós érvényes:</t>
  </si>
  <si>
    <t>0-9 db/év</t>
  </si>
  <si>
    <t>10 db - /év</t>
  </si>
  <si>
    <t>Garancia: 10 év szerkezeti és korrózióállósági garancia, 5 év a mozgó kopó alkatrészkre, 5 év az elektromos meghajtásra. A garancia feltétele a rendeltetésszerű használat és az éves karbantartás.</t>
  </si>
  <si>
    <t xml:space="preserve">  Telefon/Fax: (22) 300 - 129  Nyitva tartás: H-P: 8:00-12:00,13:00-17:00</t>
  </si>
  <si>
    <t xml:space="preserve">  Meghatározó Hörmann kereskedése már 1998 óta.</t>
  </si>
  <si>
    <t>Fotocellával!</t>
  </si>
  <si>
    <t>Számlaszám:11736006-20395913</t>
  </si>
  <si>
    <t>Adószám: 23993675-2-07</t>
  </si>
  <si>
    <t xml:space="preserve">  Maller.hu Kft. 8000 Székesfehérvár, Budai út 79.</t>
  </si>
  <si>
    <t>K FS60</t>
  </si>
  <si>
    <t>átjáró ajtós kapu felár kézi esetén (N sínfelár + ajtófelár + kézi belső zár felára)</t>
  </si>
  <si>
    <t>A kalkulátor makrókat tartalmaz,</t>
  </si>
  <si>
    <t>aminek a futtatásához Microsoft</t>
  </si>
  <si>
    <t>Excel szükséges!</t>
  </si>
  <si>
    <t>Vagy kérjen ajánlatot!</t>
  </si>
  <si>
    <t>Supramatic felára:</t>
  </si>
  <si>
    <t>átjáró ajtós kapu felár motoros esetén: ajtófelár - kézi belső zár  + ajtóérzékelő + kapulapi elem + fotocella</t>
  </si>
  <si>
    <t>ablakkeret színfelára</t>
  </si>
  <si>
    <t>S0 ablakfelár /db</t>
  </si>
  <si>
    <t>szorzó 1 vagy 0,9 a 10 % kapukedvezmény miatt</t>
  </si>
  <si>
    <t>Garancia/Szavatosság: Hörmann  kapu felülete 10 év, rugó, mozgó alktarészek, motor 5 év, beépítés 1 év. A garancia feltétele a szakszerű beépítés, rendeltetésszerű használat és az évenkénti karbantartás.</t>
  </si>
  <si>
    <t>Szükségkioldó</t>
  </si>
  <si>
    <t>Ha a garázson nincs másik bejárat, amin a  motoros kapuknál áramszünet esetén be lehet menni</t>
  </si>
  <si>
    <t>Ennek kétféle változata van:</t>
  </si>
  <si>
    <t>1. olcsóbb: kihúzható zárbetétes szükségkioldó</t>
  </si>
  <si>
    <t>2. kényelmesebb, biztonságosabb: kilincsműködtetésű szükségkioldó (ehhez a kioldó drótkötél szerkezeten kívül kell még egy kilincsgarnitúra is, ami által drágább ugyan, de sokkal kényelmesebb és biztonságosabb a működtetés.</t>
  </si>
  <si>
    <t>Mintázat</t>
  </si>
  <si>
    <t>S bordás, M bordás, kazettás</t>
  </si>
  <si>
    <t>Egy lamella, azaz szekció mintázata alapján különböztetünk meg többféle megjelenésű kaput. A kalkulátorral a leggyakoribb M bordáson kívül az S bordás és a kazettás kapu árai kalkulálhatóak. Eltérő igény esetén kérje ajánlatunkat.</t>
  </si>
  <si>
    <t>hogy a kaput kézzel kinyisuk, akkor kell egy áramszüneti szükségkioldó.</t>
  </si>
  <si>
    <t>A kapu mérete alapvetően meghatározza, hogy lehet-e Promatic motorral szerelni, vagy csak az erősebb Supramatic meghajtással. Supramatic motor bármelyik kapura szerelhető és ez a motor tudja a legtöbb kiegészítő funkciót is.</t>
  </si>
  <si>
    <t>korrigált érték, mert nincs Eco2</t>
  </si>
  <si>
    <t>csak 5000-ig</t>
  </si>
  <si>
    <t>5000mm-ig van csak</t>
  </si>
  <si>
    <t>Szfvár</t>
  </si>
  <si>
    <t>Gárdony, Velence</t>
  </si>
  <si>
    <t>Pest</t>
  </si>
  <si>
    <t>hány egység? (kapu+motor+beép)</t>
  </si>
  <si>
    <t>bruttó</t>
  </si>
  <si>
    <t>nettó</t>
  </si>
  <si>
    <t>Akciós Prolift700 M bordás woodgrain</t>
  </si>
  <si>
    <t>Akciós Promatic M bordás woodgrain</t>
  </si>
  <si>
    <t>Akciós Promatic L bordás Planer</t>
  </si>
  <si>
    <t>Akciós Prolift700 L bordás Planar</t>
  </si>
  <si>
    <t>2375 x 2000 *</t>
  </si>
  <si>
    <t>2500 x 2000 *</t>
  </si>
  <si>
    <t>2375 x 2125 *</t>
  </si>
  <si>
    <t>2500 x 2125 *</t>
  </si>
  <si>
    <t>2500 x 2250 *</t>
  </si>
  <si>
    <t>2500 x 2500 *</t>
  </si>
  <si>
    <t>2750 x 2125 *</t>
  </si>
  <si>
    <t>2750 x 2250 *</t>
  </si>
  <si>
    <t>2750 x 2500 *</t>
  </si>
  <si>
    <t>3000 x 2000 *</t>
  </si>
  <si>
    <t>3000 x 2125 *</t>
  </si>
  <si>
    <t>3000 x 2250 *</t>
  </si>
  <si>
    <t>3000 x 2500 *</t>
  </si>
  <si>
    <t>4000 x 2125 *</t>
  </si>
  <si>
    <t>4000 x 2250 *</t>
  </si>
  <si>
    <t>korrigált az éves akció miatt</t>
  </si>
  <si>
    <t>motor (1 Prolift, 2 PM, 3 SM)</t>
  </si>
  <si>
    <t>keressük:</t>
  </si>
  <si>
    <t>Távadó</t>
  </si>
  <si>
    <t>megnevezés</t>
  </si>
  <si>
    <t>ár</t>
  </si>
  <si>
    <t>Hörmann RSC2 kétgombos 433 MHz-es távirányító</t>
  </si>
  <si>
    <t>5000 x 2375</t>
  </si>
  <si>
    <t>L bordás fehér</t>
  </si>
  <si>
    <t>L bordás színes</t>
  </si>
  <si>
    <t>L bordás dekor</t>
  </si>
  <si>
    <t>M bordás fehér</t>
  </si>
  <si>
    <t>M bordás színes</t>
  </si>
  <si>
    <t>M bordás dekor</t>
  </si>
  <si>
    <t>fehér, s bordás, szigeteletlen</t>
  </si>
  <si>
    <t>fehér, kazettás, szigeteletlen</t>
  </si>
  <si>
    <t>fehér, m bordás, szigeteletlen</t>
  </si>
  <si>
    <t>s bordás fehér</t>
  </si>
  <si>
    <t>s bordás színes</t>
  </si>
  <si>
    <t>ProLift700 motor, 2 db RSC2 távadóval (motor AKCIÓS ÁRÁT A KAPU ÁRA TARTALMAZZA)</t>
  </si>
  <si>
    <t>Promatic motor, 1 db HSE4 BS távadóval (motor AKCIÓS ÁRÁT A KAPU ÁRA TARTALMAZZA)</t>
  </si>
  <si>
    <t>https://www.youtube.com/results?search_query=MALLER.HU+H%C3%96RMANN</t>
  </si>
  <si>
    <t>Interjúikat megnézheti a youtube-on is. Keressen rá: "maller.hu Hörmann", vagy kattintson a linkre:</t>
  </si>
  <si>
    <t>KEDVEZMÉNYEK</t>
  </si>
  <si>
    <t>garázskapu és motor (csak termék esetén)</t>
  </si>
  <si>
    <t>garázskapu (csak termék vásárlása esetén)</t>
  </si>
  <si>
    <t>kiegészítők (kilincs, távadó, szükségkioldó)</t>
  </si>
  <si>
    <t>beépítési és felmérési díjak</t>
  </si>
  <si>
    <t>kiszállás/kiszállítási díj</t>
  </si>
  <si>
    <t>lakosság</t>
  </si>
  <si>
    <t>viszonteladó</t>
  </si>
  <si>
    <t>"0"</t>
  </si>
  <si>
    <t>"1"</t>
  </si>
  <si>
    <t>"2"</t>
  </si>
  <si>
    <t>éves akciós kapu motorral, szereléssel</t>
  </si>
  <si>
    <t>éves akciós kapu motorral</t>
  </si>
  <si>
    <t>éves akciós kapu</t>
  </si>
  <si>
    <t>garázskapu és motor szereléssel</t>
  </si>
  <si>
    <t>kedv:</t>
  </si>
  <si>
    <t>Kategóriák</t>
  </si>
  <si>
    <t>fekete kilincs szerelési díja</t>
  </si>
  <si>
    <t>szükségkioldó szerelési díja</t>
  </si>
  <si>
    <t>vevőegység szerelési díja</t>
  </si>
  <si>
    <t>fotocella telepítési díja</t>
  </si>
  <si>
    <t>átjáróajtó szerelési díja</t>
  </si>
  <si>
    <t>Van?</t>
  </si>
  <si>
    <t>Díja</t>
  </si>
  <si>
    <t>thermoframe keret</t>
  </si>
  <si>
    <t>Thermoframe keret</t>
  </si>
  <si>
    <t>szerelési felár:</t>
  </si>
  <si>
    <t>Thermoframe</t>
  </si>
  <si>
    <t>keret ára</t>
  </si>
  <si>
    <t>Promatic 4. (K)</t>
  </si>
  <si>
    <t>Promatic 4. (M)</t>
  </si>
  <si>
    <t>Promatic 4. (L)</t>
  </si>
  <si>
    <t>SupraMatic 4. P fej</t>
  </si>
  <si>
    <t>Supramatic 4. E fej</t>
  </si>
  <si>
    <t>Promatic 4. fej</t>
  </si>
  <si>
    <t>K sín FS10</t>
  </si>
  <si>
    <t>M sín FS10</t>
  </si>
  <si>
    <t>L sín FS10</t>
  </si>
  <si>
    <t>K sín FS60</t>
  </si>
  <si>
    <t>kategórai:</t>
  </si>
  <si>
    <t>3500 x 2125 *</t>
  </si>
  <si>
    <t>3500 x 2250 *</t>
  </si>
  <si>
    <t>Supramatic 4 E motor, 1 db HSE4 BS távadóval (motor AKCIÓS ÁRÁT A KAPU ÁRA TARTALMAZZA)</t>
  </si>
  <si>
    <t>Lbordás sandgrain</t>
  </si>
  <si>
    <t>* 100 = 1 teljes kínálatból, 2 akciósból</t>
  </si>
  <si>
    <t>*10 = 1 fehér, 2 színes, 3 dekor</t>
  </si>
  <si>
    <t>teljes</t>
  </si>
  <si>
    <t>akciós</t>
  </si>
  <si>
    <t>woodgrain</t>
  </si>
  <si>
    <t>planar</t>
  </si>
  <si>
    <t>decograin</t>
  </si>
  <si>
    <t>teljes/akciós</t>
  </si>
  <si>
    <t>fehér/sz/dek</t>
  </si>
  <si>
    <t>wood/planar</t>
  </si>
  <si>
    <t>2315 x 2080 *</t>
  </si>
  <si>
    <t>2440 x 2080 *</t>
  </si>
  <si>
    <t>5000 x 2500 *</t>
  </si>
  <si>
    <t>5000 x 2125 *</t>
  </si>
  <si>
    <t>5000 x 2250 *</t>
  </si>
  <si>
    <t>3000 x 3000 *</t>
  </si>
  <si>
    <t>Akciós Promatic L bordás Daimond</t>
  </si>
  <si>
    <t>= 1 woowdgrain, 2 planar, 3 daimond</t>
  </si>
  <si>
    <t>daimond</t>
  </si>
  <si>
    <t>ajtóérzékelő</t>
  </si>
  <si>
    <t>kapulapi elem</t>
  </si>
  <si>
    <t>kézi belső zár</t>
  </si>
  <si>
    <t>ajtófelár</t>
  </si>
  <si>
    <t>N sínfelár</t>
  </si>
  <si>
    <t>helyett:</t>
  </si>
  <si>
    <t>48 mm-es</t>
  </si>
  <si>
    <t>10 mm-es</t>
  </si>
  <si>
    <t>küszöb:</t>
  </si>
  <si>
    <t>lista:</t>
  </si>
  <si>
    <t>1 lista, 2 akciós</t>
  </si>
  <si>
    <t xml:space="preserve">küszöbmagasság: </t>
  </si>
  <si>
    <t>Azaz az akció</t>
  </si>
  <si>
    <t>ÁTJÁRÓAJTÓ  AKCIÓ</t>
  </si>
  <si>
    <t>85 mm-es</t>
  </si>
  <si>
    <t>-ig</t>
  </si>
  <si>
    <t>Akciós Supramatic E                  M bordás woodgrain</t>
  </si>
  <si>
    <t>Akciós Prolift700                     L bordás Daimond</t>
  </si>
  <si>
    <t>Akciós Supramatic E                  L bordás Planar</t>
  </si>
  <si>
    <t>Akciós Supramatic E             L bordás Daimond</t>
  </si>
  <si>
    <t>liter/100km</t>
  </si>
  <si>
    <t>üzemanyagár</t>
  </si>
  <si>
    <t>fogyasztás:</t>
  </si>
  <si>
    <t>korrekciós szorzó</t>
  </si>
  <si>
    <t>fekete kilincs</t>
  </si>
  <si>
    <t>1 alu keretes 0 Ft, 2 színes keretes - felára:</t>
  </si>
  <si>
    <t>ez a régi:</t>
  </si>
  <si>
    <t>-től</t>
  </si>
  <si>
    <t>ez az új</t>
  </si>
  <si>
    <t>Az ajánlat eddig érvényes (az ajánlat alján ez van kiírva):</t>
  </si>
  <si>
    <t>normál kapu esetén</t>
  </si>
  <si>
    <t>akciós kapu esetén</t>
  </si>
  <si>
    <t>(emelés előtti utolsó napig, vagy mától számított 30 napig)</t>
  </si>
  <si>
    <t>(emelés előtti utolsó napig, vagy akció végéig)</t>
  </si>
  <si>
    <t>Fekete színű bisecur 4 gombos távirányító</t>
  </si>
  <si>
    <t>/liter</t>
  </si>
  <si>
    <t>megadható értékek</t>
  </si>
  <si>
    <t>Csak egyfajta kapu létezik már szigetelés szempontjából</t>
  </si>
  <si>
    <t>ablak</t>
  </si>
  <si>
    <t>Plusz távadó</t>
  </si>
  <si>
    <t>kihúzható NET3</t>
  </si>
  <si>
    <t>kilincses NET2</t>
  </si>
  <si>
    <t>Felmérés</t>
  </si>
  <si>
    <t>Beépítés</t>
  </si>
  <si>
    <t>Motorszerelés</t>
  </si>
  <si>
    <t>Kiszállás</t>
  </si>
  <si>
    <t>+Áfa/db</t>
  </si>
  <si>
    <t>Átjáróajtó</t>
  </si>
  <si>
    <t>a kiválasztott távolság</t>
  </si>
  <si>
    <t>Teljes/Akciós</t>
  </si>
  <si>
    <t>1 teljes kínálat, 2 akciós kapu</t>
  </si>
  <si>
    <t>3m-ig:</t>
  </si>
  <si>
    <t>3m-től:</t>
  </si>
  <si>
    <t>Kedvezmény</t>
  </si>
  <si>
    <t>-</t>
  </si>
  <si>
    <t>mert megszűnt a 2 cm-es és a szigeteletlen is</t>
  </si>
  <si>
    <t>-ból jár a további kedvezmény</t>
  </si>
  <si>
    <t>FONTOS!!!!</t>
  </si>
  <si>
    <t>rádiórendszerrel</t>
  </si>
  <si>
    <t>hogy van motor (ha "1", de akciós, akkor is van)</t>
  </si>
  <si>
    <t>-et keressük</t>
  </si>
  <si>
    <t>kód:</t>
  </si>
  <si>
    <t>Eredmény:</t>
  </si>
  <si>
    <t>Felületű, mert:</t>
  </si>
  <si>
    <t>S bordás</t>
  </si>
  <si>
    <t>M bordás</t>
  </si>
  <si>
    <t>L bordás</t>
  </si>
  <si>
    <t xml:space="preserve">szigetelés  </t>
  </si>
  <si>
    <t>+ felületx10</t>
  </si>
  <si>
    <t xml:space="preserve">+ színx100 </t>
  </si>
  <si>
    <t>összegét, a</t>
  </si>
  <si>
    <t>-at keressük</t>
  </si>
  <si>
    <t>Ehhez tartozó</t>
  </si>
  <si>
    <t>oszlopszám:</t>
  </si>
  <si>
    <t>Teljes kínálat esetén:</t>
  </si>
  <si>
    <t>Keressük a</t>
  </si>
  <si>
    <t>Akciós kínálat esetén a felület és motor kombinációja:</t>
  </si>
  <si>
    <t xml:space="preserve">-et, és így a </t>
  </si>
  <si>
    <t>fentiek alapján</t>
  </si>
  <si>
    <t>felületválasztéka:</t>
  </si>
  <si>
    <t>motorja:</t>
  </si>
  <si>
    <t>…</t>
  </si>
  <si>
    <t>Kiegészítők:</t>
  </si>
  <si>
    <t>kategóriához eladandó kapuszám:</t>
  </si>
  <si>
    <t>választott:</t>
  </si>
  <si>
    <t>hány egység(1,2,3?):</t>
  </si>
  <si>
    <t>ár megnev.</t>
  </si>
  <si>
    <t>listaár:</t>
  </si>
  <si>
    <t>SupraMatic 4. E (K)</t>
  </si>
  <si>
    <t>SupraMatic 4. E (M)</t>
  </si>
  <si>
    <t>SupraMatic 4. E (L)</t>
  </si>
  <si>
    <t>SupraMatic 4. P (K)</t>
  </si>
  <si>
    <t>SupraMatic 4. P (M)</t>
  </si>
  <si>
    <t>SupraMatic 4. P (L)</t>
  </si>
  <si>
    <t>Motor és sín listaárak:</t>
  </si>
  <si>
    <t>FS10</t>
  </si>
  <si>
    <t>FS60</t>
  </si>
  <si>
    <t>SupraMatic E</t>
  </si>
  <si>
    <t>Motor: 1 nincs, 2 Eco, 3 Promatic, 4 Supramatic</t>
  </si>
  <si>
    <t>motor listaára (23)</t>
  </si>
  <si>
    <t>kapu szélesebb 6 m-nél?</t>
  </si>
  <si>
    <t>motor megnevezése, ha van:</t>
  </si>
  <si>
    <t>*korrekció nélkül!</t>
  </si>
  <si>
    <t>*listaár</t>
  </si>
  <si>
    <t>a fekete kilincs ára</t>
  </si>
  <si>
    <t>(listaárból megadva)</t>
  </si>
  <si>
    <t>+Áfa/db alulról kiválasztva</t>
  </si>
  <si>
    <t>Ft+Áfa/db a kiválasztott kioldó</t>
  </si>
  <si>
    <t>kapu beépítési díja (táblázatból kiemelve) (29) + alábbi kiegészítők</t>
  </si>
  <si>
    <t>EL101 áraegyedileg  megadva</t>
  </si>
  <si>
    <t>24 V-os dobozos vevőegység idegen kapuba egyedileg megadva</t>
  </si>
  <si>
    <t>színes keretű ajtó felára:</t>
  </si>
  <si>
    <t>+Áfa/ajtó egyedileg megadva</t>
  </si>
  <si>
    <t>+Áfa a kézi kapus átjáróajtó felára (táblázatból kiemelve) (33)</t>
  </si>
  <si>
    <t>+Áfa a motoros kapus átjáróajtó felára (táblázatból kiemelve) (34)</t>
  </si>
  <si>
    <t>küszöblista:</t>
  </si>
  <si>
    <t>+Áfa/db egyedileg megadva</t>
  </si>
  <si>
    <t>táblázatból kikeresve (7)</t>
  </si>
  <si>
    <t>Kapu ára:</t>
  </si>
  <si>
    <t>Kapu</t>
  </si>
  <si>
    <t>Motor</t>
  </si>
  <si>
    <t>Távirányító</t>
  </si>
  <si>
    <t>Motortelepítés</t>
  </si>
  <si>
    <t>ThermoFrame</t>
  </si>
  <si>
    <t>Átjáró ajtó</t>
  </si>
  <si>
    <t>Ablak</t>
  </si>
  <si>
    <t>üres</t>
  </si>
  <si>
    <t>24V-os vevő</t>
  </si>
  <si>
    <t>Műszaki ellenőr</t>
  </si>
  <si>
    <t>normál</t>
  </si>
  <si>
    <t>dátumig</t>
  </si>
  <si>
    <t>dátumtól</t>
  </si>
  <si>
    <t>aktuális ár</t>
  </si>
  <si>
    <t>korrekciós ár</t>
  </si>
  <si>
    <t>Ma:</t>
  </si>
  <si>
    <t>Akciós kapu ajánlat</t>
  </si>
  <si>
    <t>szorzó előtte</t>
  </si>
  <si>
    <t>szorzó ettől a naptól</t>
  </si>
  <si>
    <t>Normál kapu és kiegészítők</t>
  </si>
  <si>
    <t>-ig érvényes (ez az utolsó nap)</t>
  </si>
  <si>
    <t>-től változás (ez az első nap)</t>
  </si>
  <si>
    <t>Motorok és kiegészítők</t>
  </si>
  <si>
    <t>szorzó másnaptól</t>
  </si>
  <si>
    <t>kategória:</t>
  </si>
  <si>
    <t>Mindenhol az aktuálisan megadható listaárakkal számolunk, kigyűjtjük és egyesével beállítjuk, kell-e szoroznunk és mennyivel, utána pedig az aktuális árakat visszük tovább a kalkulátor oldalra.</t>
  </si>
  <si>
    <t>aktuális szorzó</t>
  </si>
  <si>
    <t>ebből jönnek le a kedvezmények</t>
  </si>
  <si>
    <t>Akciós Prolift700                     L bordás Slategrain</t>
  </si>
  <si>
    <t>Akciós Promatic L bordás Slategrain</t>
  </si>
  <si>
    <t>Akciós Supramatic E             L bordás Slategrain</t>
  </si>
  <si>
    <t>Akciós Promatic L bordás Planar</t>
  </si>
  <si>
    <t>RAL9016, RAL9005, RAL9006, RAL9007, RAL7016, RAL8028, CH703 Antracit metál, Decocolor GoldenOak, Decocolor DarkOak, Decocolor NightOak</t>
  </si>
  <si>
    <t>EREDMÉNY A MÁSIK KÉT TÁBLÁZAT KÖZÜL</t>
  </si>
  <si>
    <t>RAL9016, RAL9005, RAL9006, RAL9007, RAL7016, RAL8028, CH703 Antracit metál</t>
  </si>
  <si>
    <t>CH 9016 Matt deluxe fehér, CH 905 Matt deluxe fekete, CH 9006 Matt deluxe fehéralumínium, CH 9007 Matt deluxe szürkealumínium, CH 7016 Matt deluxe antracitszürke, CH 8028 Matt deluxe földbarna, CH 703 Matt deluxe antracit metál</t>
  </si>
  <si>
    <t>(10 M bordás, 20 Planar L bordás, 30 Slategrain L bordás) + (motor:1 Prolift, 2 PM, 3 SM)</t>
  </si>
  <si>
    <t>1 M bordás, 2 Planar L bordás, 3 Slategrain L bordás</t>
  </si>
  <si>
    <t>megszűnt</t>
  </si>
  <si>
    <t>Ezt a levelet kaptuk a Hörmanntól:</t>
  </si>
  <si>
    <t>16. Garanciális panasz bejelentését kizárólag írásban teheti meg a Megrendelő, melyet személyesen, postán vagy faxon továbbít a Kereskedő részére.</t>
  </si>
  <si>
    <t>Általános Eladási és Szállítási Feltételek</t>
  </si>
  <si>
    <t>A jelen általános eladási és szállítási feltételeket (ÁESZF) a Maller.hu Kft. (8000 Székesfehérvár, Budai út 79.  adószám: 23993675-2-07), továbbiakban, mint Kereskedő dolgozta ki, és alkalmazza a vele szerződésben lévő partnerével, továbbiakban mint Megrendelővel. A jelen ÁESZF a Magyar Köztársaság Polgári Törvénykönyvének 209.§-ban rögzített általános szerződési feltételeknek felel meg.</t>
  </si>
  <si>
    <t>Amennyiben a megrendelésen ettől eltérő, írásos megállapodás nem történik, úgy az alábbi feltételekkel áll módunkban Megrendelőinkkel megállapodni.</t>
  </si>
  <si>
    <t>1. Megrendelő az „Árajánlat” alapján írásban megrendeli az általa igényelt termékeket, szolgáltatásokat, és egyidejűleg megfizeti a megrendelési érték 50%-át.</t>
  </si>
  <si>
    <t>2. A kereskedő – amennyiben Megrendelő arra igényt tart – külön tételként vállalja a szolgáltatások elvégzését. A termékek díja nem tartalmazza a kiszállítás és a termékhez kapcsolódó szolgáltatások díját.</t>
  </si>
  <si>
    <t>3. A szolgáltatások díja nem tartalmazza a következő költségeket: Statikailag és csomópontilag is alkalmas fogadófelület kialakítása, elektromos hálózat kiépítése, emelőkosaras autó bérlése vagy állványzat építése, tárolás és őrzés, valamint az egyéb munkaterülettel kapcsolatos (víz-, villany- és WC-használat, takarítás, biztosítás stb.) költségeket. A szolgáltatás díja normál szerelési körülmények esetén, szabad és folyamatos munkaterület biztosítása mellett érvényes. Amennyiben a megfelelő szerelőfelület nem áll rendelkezésre, a szerződésben megállapodott, vagy az egyeztetett szerelési időpontban, illetve ha a helyszín nem alkalmas a szolgáltatás teljesítésére, akkor a felmerülő költségek megtérítése Megrendelő kötelessége.</t>
  </si>
  <si>
    <t>4. Kereskedő a Megrendelő részére minden írásos információt átadott és megadott, hogy a megrendelés minden szempontból a Megrendelő elvárásainak megfelelő legyen. A megrendelés aláírásával a Megrendelő elismeri, hogy a részletes tájékoztatás dokumentáltan megtörtént és ezen ismeretek tudatában készült a megrendelés.</t>
  </si>
  <si>
    <t>5. Megrendelőt terheli a felelősség az általa megadott műszaki paraméterek megfelelőségéért, a megrendelés pontos és hiánymentes leadásáért. A Megrendelő tudomásul veszi, hogy a megrendelés megtörténtét követően a megrendelés módosítására nincs lehetőség.</t>
  </si>
  <si>
    <t>6. A Kereskedő és a Megrendelő között szerződéses jogviszony jön létre. A megrendelés megtörténtét követően minden korábbi szóbeli és írásos megállapodás, illetve ajánlati tartalom érvényét veszti.</t>
  </si>
  <si>
    <t>7. A Kereskedő az általa forgalmazott termékeket egyéni megrendelői igények alapján rendeli, gyártja. Ebből adódóan a megrendelés törlésére nincs lehetőség. Amennyiben a Megrendelő eláll a szerződéstől, úgy köteles a Kereskedő kárát megtéríteni. Abban az esetben, ha Megrendelő a konkrét megrendelésétől visszalép, a Kereskedő a bruttó vételár 50%-át, amely a megrendeléskor megfizetésre került, nem téríti vissza.</t>
  </si>
  <si>
    <t xml:space="preserve">8. A Kereskedő az előteljesítés és a részteljesítés jogát kifejezetten fenntartja. A Megrendelő az elkészült és készre jelentett termékeket köteles öt napon belül átvenni, a Kereskedő számláját befogadni, és megfizetni. A pénzügyi teljesítés 15 napos elmaradása esetén a 7. pontban foglalt jogkövetkezmények lépnek érvénybe. A készre jelentéstől számított 5 napon túl tárolási díj (nyílászárók esetében 400 Ft/nap/db+Áfa, más termékek eseténél az érték 0,05%/nap) kerül felszámításra. </t>
  </si>
  <si>
    <t>9. Az áru beérkezéséről telefonon értesíti a Kereskedő a Megrendelőt, amely készre jelentésnek minősül. A Megrendelő külön írásbeli kérésére, a készre-jelentés írásban is megtörténik.</t>
  </si>
  <si>
    <t>10. A termék tulajdonjoga a végszámla kiegyenlítésével száll át a vevőre.</t>
  </si>
  <si>
    <t>11. Amennyiben a beszállítónál igazolt üzemzavar, a termeléshez szükséges anyagok hiánya, közlekedési akadályok, szállítmányozási problémák, vagy elháríthatatlan ok következik be, a Kereskedő jogosult a visszaigazolt határidőn túl, de maximum 30 (harminc) napon belül teljesíteni.</t>
  </si>
  <si>
    <t>12. Árukiadás: a Kereskedő székesfehérvári telephelyén (székhely) hétfőtől péntekig 8:00-12:00 és 13:00-17:00 között. Szombaton árukiadás nincs.</t>
  </si>
  <si>
    <t>13. A szerződés szerinti teljesítés a Kereskedő székhelyén történik. A Megrendelő vagy a megbízottja a mennyiségi és minőségi átvételt a szállítólevél aláírásával igazolja. A szállítólevél aláírásával a kárveszély a Megrendelőre száll át. A szállítólevél aláírása után – kivéve, ha azon a Megrendelő mennyiségi vagy minőségi kifogást tűntetett fel – hibás vagy a hiányos teljesítésre való hivatkozást kizárólag rejtett hiba esetén fogad el a Kereskedő.</t>
  </si>
  <si>
    <t>14. A szállítók, a gyártók a termékekre a megrendelés időpontjában, hatályban lévő jogszabályok alapján, ill. az érvényben lévő termékkatalógusban és a Jótállási és Karbantartási Kézikönyvben (feltételek megléte esetén) megadott szavatossági, ill. jótállási időtartamokat biztosítják.</t>
  </si>
  <si>
    <t>15. A termékre vonatkozó jótállási idő kezdete az a nap, amikor a Megrendelő vagy a képviselője a termékek átadás-átvételi jegyzőkönyvét, illetve a szállítólevelet, vagy a számlát aláírja. A jótállás nem terjed ki a nem rendeltetésszerű használatból, az előírásitól eltérő szakszerűtlen beépítésből, az előírásaitól eltérő környezeti körülmények közötti használatból, az előírásaitól eltérő módon történő tisztításra, balesetre, elemi kárra, üvegtörésre, repedésre, valamint rongálás következményében létrejövő károsodásra.</t>
  </si>
  <si>
    <t>17. A Kereskedő a hozzá beérkezett írásos bejelentést 3 munkanapon belül elbírálja, visszaigazolja a Megrendelő felé, továbbítja a gyártó (beszállító) részére.</t>
  </si>
  <si>
    <t>18. Megrendelő hozzájárul, hogy Kereskedőtől vásárolt termékekről és beépítés esetén azok környezetéről fényképeket készítsen, és azokat sajátjaként kezelve reklám és referencia célokra szabadon felhasználhassa.</t>
  </si>
  <si>
    <t>19. A jelen feltételekben és az Általános Eladási és Szállítási Feltételekben nem szabályozott kérdésekben a Ptk. vonatkozó rendelkezései irányadóak. A jelen általános szerződési feltételekkel vagy a termékekkel kapcsolatos bármilyen jogvita esetén, hatáskörtől függetlenül a Székesfehérvári Városi Bíróság, illetve a Fejér Megyei Bíróság kizárólagosan illetékes.</t>
  </si>
  <si>
    <t>Thermoframe plusz szemöldök igénye:</t>
  </si>
  <si>
    <t>oszlop:</t>
  </si>
  <si>
    <t>Akciós?</t>
  </si>
  <si>
    <t>Promatic?</t>
  </si>
  <si>
    <t>Nem ajánljuk ezekhez a méretekhez:</t>
  </si>
  <si>
    <t>Ezt vállasztottuk:</t>
  </si>
  <si>
    <t>Egyezik?</t>
  </si>
  <si>
    <t>Van pár akciós méretű kapu, amihez a Hörmann igen, de mi</t>
  </si>
  <si>
    <t>nem ajánljuk a Promatic motor szerelését. Eladjuk, de fokozott</t>
  </si>
  <si>
    <t>karbantartás esetén vállaljuk rá a garanciát.</t>
  </si>
  <si>
    <t>Kell a figyelmeztető felirat:</t>
  </si>
  <si>
    <t>3500x2500</t>
  </si>
  <si>
    <t>4000x2500</t>
  </si>
  <si>
    <r>
      <t xml:space="preserve">  Módosítva: </t>
    </r>
    <r>
      <rPr>
        <sz val="6"/>
        <color indexed="56"/>
        <rFont val="Arial CE"/>
        <charset val="238"/>
      </rPr>
      <t>2024.02.29.</t>
    </r>
  </si>
  <si>
    <t>4000 x 2000 *</t>
  </si>
  <si>
    <t>5000 x 2000 *</t>
  </si>
  <si>
    <t>5500 x 2125 *</t>
  </si>
  <si>
    <t>5500 x 2250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</si>
</sst>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4" formatCode="_-* #,##0.00\ &quot;Ft&quot;_-;\-* #,##0.00\ &quot;Ft&quot;_-;_-* &quot;-&quot;??\ &quot;Ft&quot;_-;_-@_-"/>
    <numFmt numFmtId="43" formatCode="_-* #,##0.00_-;\-* #,##0.00_-;_-* &quot;-&quot;??_-;_-@_-"/>
    <numFmt numFmtId="164" formatCode="_-* #,##0\ &quot;Ft&quot;_-;\-* #,##0\ &quot;Ft&quot;_-;_-* &quot;-&quot;??\ &quot;Ft&quot;_-;_-@_-"/>
    <numFmt numFmtId="165" formatCode="#&quot; db&quot;"/>
    <numFmt numFmtId="166" formatCode="#,##0&quot; mm&quot;"/>
    <numFmt numFmtId="167" formatCode="#&quot; km&quot;"/>
    <numFmt numFmtId="168" formatCode="0.0000"/>
    <numFmt numFmtId="169" formatCode="_-* #,##0.0000_-;\-* #,##0.0000_-;_-* &quot;-&quot;??_-;_-@_-"/>
  </numFmts>
  <fonts count="100" x14ac:knownFonts="1">
    <font>
      <sz val="10"/>
      <name val="Arial"/>
      <charset val="238"/>
    </font>
    <font>
      <sz val="10"/>
      <name val="Arial"/>
      <charset val="238"/>
    </font>
    <font>
      <sz val="10"/>
      <color indexed="63"/>
      <name val="Arial CE"/>
      <charset val="238"/>
    </font>
    <font>
      <sz val="10"/>
      <color indexed="8"/>
      <name val="Arial CE"/>
      <charset val="238"/>
    </font>
    <font>
      <b/>
      <u/>
      <sz val="12"/>
      <color indexed="8"/>
      <name val="Arial CE"/>
      <charset val="238"/>
    </font>
    <font>
      <b/>
      <sz val="10"/>
      <color indexed="8"/>
      <name val="Arial CE"/>
      <charset val="238"/>
    </font>
    <font>
      <b/>
      <sz val="10"/>
      <color indexed="63"/>
      <name val="Arial CE"/>
      <family val="2"/>
      <charset val="238"/>
    </font>
    <font>
      <b/>
      <sz val="14"/>
      <color indexed="63"/>
      <name val="Arial CE"/>
      <family val="2"/>
      <charset val="238"/>
    </font>
    <font>
      <b/>
      <sz val="18"/>
      <color indexed="63"/>
      <name val="Arial CE"/>
      <family val="2"/>
      <charset val="238"/>
    </font>
    <font>
      <sz val="8"/>
      <color indexed="63"/>
      <name val="Arial CE"/>
      <charset val="238"/>
    </font>
    <font>
      <sz val="8"/>
      <color indexed="63"/>
      <name val="Arial CE"/>
      <family val="2"/>
      <charset val="238"/>
    </font>
    <font>
      <sz val="9"/>
      <color indexed="63"/>
      <name val="Arial CE"/>
      <family val="2"/>
      <charset val="238"/>
    </font>
    <font>
      <sz val="18"/>
      <color indexed="8"/>
      <name val="Arial CE"/>
      <charset val="238"/>
    </font>
    <font>
      <sz val="18"/>
      <color indexed="8"/>
      <name val="Arial Black"/>
      <family val="2"/>
    </font>
    <font>
      <b/>
      <sz val="8"/>
      <color indexed="63"/>
      <name val="Arial CE"/>
      <charset val="238"/>
    </font>
    <font>
      <b/>
      <sz val="9"/>
      <color indexed="63"/>
      <name val="Arial CE"/>
      <charset val="238"/>
    </font>
    <font>
      <sz val="9"/>
      <color indexed="63"/>
      <name val="Arial CE"/>
      <charset val="238"/>
    </font>
    <font>
      <sz val="8"/>
      <color indexed="8"/>
      <name val="Arial CE"/>
      <charset val="238"/>
    </font>
    <font>
      <b/>
      <sz val="8"/>
      <color indexed="63"/>
      <name val="Arial CE"/>
      <family val="2"/>
      <charset val="238"/>
    </font>
    <font>
      <sz val="10"/>
      <color indexed="63"/>
      <name val="Arial CE"/>
      <family val="2"/>
      <charset val="238"/>
    </font>
    <font>
      <b/>
      <sz val="9"/>
      <color indexed="63"/>
      <name val="Arial CE"/>
      <family val="2"/>
      <charset val="238"/>
    </font>
    <font>
      <u/>
      <sz val="10"/>
      <color indexed="12"/>
      <name val="Arial"/>
      <family val="2"/>
      <charset val="238"/>
    </font>
    <font>
      <b/>
      <sz val="10"/>
      <color indexed="63"/>
      <name val="Arial CE"/>
      <charset val="238"/>
    </font>
    <font>
      <sz val="8"/>
      <name val="Arial"/>
      <family val="2"/>
      <charset val="238"/>
    </font>
    <font>
      <b/>
      <sz val="10"/>
      <name val="Arial"/>
      <family val="2"/>
      <charset val="238"/>
    </font>
    <font>
      <b/>
      <sz val="12"/>
      <name val="Arial"/>
      <family val="2"/>
      <charset val="238"/>
    </font>
    <font>
      <b/>
      <sz val="12"/>
      <color indexed="63"/>
      <name val="Arial CE"/>
      <family val="2"/>
      <charset val="238"/>
    </font>
    <font>
      <sz val="8"/>
      <color indexed="17"/>
      <name val="Arial"/>
      <family val="2"/>
      <charset val="238"/>
    </font>
    <font>
      <sz val="8"/>
      <color indexed="8"/>
      <name val="Arial"/>
      <family val="2"/>
      <charset val="238"/>
    </font>
    <font>
      <sz val="8"/>
      <color indexed="23"/>
      <name val="Arial"/>
      <family val="2"/>
      <charset val="238"/>
    </font>
    <font>
      <sz val="8"/>
      <color indexed="10"/>
      <name val="Arial"/>
      <family val="2"/>
      <charset val="238"/>
    </font>
    <font>
      <sz val="8"/>
      <color indexed="18"/>
      <name val="Arial"/>
      <family val="2"/>
      <charset val="238"/>
    </font>
    <font>
      <sz val="10"/>
      <color indexed="22"/>
      <name val="Arial CE"/>
      <charset val="238"/>
    </font>
    <font>
      <sz val="10"/>
      <name val="Arial"/>
      <family val="2"/>
      <charset val="238"/>
    </font>
    <font>
      <b/>
      <u/>
      <sz val="12"/>
      <color indexed="9"/>
      <name val="Arial CE"/>
      <charset val="238"/>
    </font>
    <font>
      <b/>
      <sz val="9"/>
      <color indexed="48"/>
      <name val="Arial CE"/>
      <family val="2"/>
      <charset val="238"/>
    </font>
    <font>
      <b/>
      <sz val="11"/>
      <color indexed="48"/>
      <name val="Arial CE"/>
      <family val="2"/>
      <charset val="238"/>
    </font>
    <font>
      <b/>
      <sz val="16"/>
      <color indexed="8"/>
      <name val="Arial CE"/>
      <family val="2"/>
      <charset val="238"/>
    </font>
    <font>
      <sz val="16"/>
      <color indexed="8"/>
      <name val="Arial CE"/>
      <family val="2"/>
      <charset val="238"/>
    </font>
    <font>
      <sz val="18"/>
      <color indexed="63"/>
      <name val="Arial CE"/>
      <charset val="238"/>
    </font>
    <font>
      <u/>
      <sz val="8"/>
      <color indexed="12"/>
      <name val="Arial"/>
      <family val="2"/>
      <charset val="238"/>
    </font>
    <font>
      <b/>
      <sz val="14"/>
      <name val="Arial"/>
      <family val="2"/>
      <charset val="238"/>
    </font>
    <font>
      <sz val="10"/>
      <color indexed="8"/>
      <name val="Arial"/>
      <family val="2"/>
      <charset val="238"/>
    </font>
    <font>
      <b/>
      <sz val="10"/>
      <color indexed="9"/>
      <name val="Arial"/>
      <family val="2"/>
      <charset val="238"/>
    </font>
    <font>
      <sz val="10"/>
      <color indexed="9"/>
      <name val="Arial"/>
      <family val="2"/>
      <charset val="238"/>
    </font>
    <font>
      <sz val="8"/>
      <color indexed="22"/>
      <name val="Arial CE"/>
      <charset val="238"/>
    </font>
    <font>
      <sz val="4"/>
      <color indexed="22"/>
      <name val="Arial CE"/>
      <charset val="238"/>
    </font>
    <font>
      <sz val="8"/>
      <color indexed="55"/>
      <name val="Arial"/>
      <family val="2"/>
      <charset val="238"/>
    </font>
    <font>
      <sz val="9"/>
      <color indexed="8"/>
      <name val="Arial CE"/>
      <family val="2"/>
      <charset val="238"/>
    </font>
    <font>
      <b/>
      <sz val="12"/>
      <color indexed="53"/>
      <name val="Arial CE"/>
      <charset val="238"/>
    </font>
    <font>
      <b/>
      <sz val="16"/>
      <color indexed="53"/>
      <name val="Arial CE"/>
      <charset val="238"/>
    </font>
    <font>
      <sz val="9"/>
      <color indexed="55"/>
      <name val="Arial CE"/>
      <charset val="238"/>
    </font>
    <font>
      <sz val="10"/>
      <color indexed="9"/>
      <name val="Arial CE"/>
      <charset val="238"/>
    </font>
    <font>
      <b/>
      <sz val="12"/>
      <color indexed="63"/>
      <name val="Arial CE"/>
      <charset val="238"/>
    </font>
    <font>
      <sz val="8"/>
      <name val="Arial"/>
      <family val="2"/>
      <charset val="238"/>
    </font>
    <font>
      <u/>
      <sz val="8"/>
      <color indexed="12"/>
      <name val="Arial"/>
      <family val="2"/>
      <charset val="238"/>
    </font>
    <font>
      <b/>
      <sz val="8"/>
      <name val="Arial"/>
      <family val="2"/>
      <charset val="238"/>
    </font>
    <font>
      <sz val="20"/>
      <name val="Arial"/>
      <family val="2"/>
      <charset val="238"/>
    </font>
    <font>
      <sz val="18"/>
      <name val="Arial"/>
      <family val="2"/>
      <charset val="238"/>
    </font>
    <font>
      <sz val="6"/>
      <color indexed="23"/>
      <name val="Arial CE"/>
      <charset val="238"/>
    </font>
    <font>
      <sz val="6"/>
      <color indexed="56"/>
      <name val="Arial CE"/>
      <charset val="238"/>
    </font>
    <font>
      <sz val="1"/>
      <color indexed="63"/>
      <name val="Arial CE"/>
      <charset val="238"/>
    </font>
    <font>
      <b/>
      <sz val="8"/>
      <color indexed="17"/>
      <name val="Arial"/>
      <family val="2"/>
      <charset val="238"/>
    </font>
    <font>
      <u/>
      <sz val="6"/>
      <color indexed="12"/>
      <name val="Arial"/>
      <family val="2"/>
      <charset val="238"/>
    </font>
    <font>
      <sz val="9"/>
      <color indexed="81"/>
      <name val="Tahoma"/>
      <family val="2"/>
      <charset val="238"/>
    </font>
    <font>
      <b/>
      <sz val="9"/>
      <color indexed="81"/>
      <name val="Tahoma"/>
      <family val="2"/>
      <charset val="238"/>
    </font>
    <font>
      <b/>
      <sz val="16"/>
      <name val="Arial"/>
      <family val="2"/>
      <charset val="238"/>
    </font>
    <font>
      <sz val="10"/>
      <color rgb="FFFF0000"/>
      <name val="Arial CE"/>
      <charset val="238"/>
    </font>
    <font>
      <sz val="10"/>
      <color theme="0" tint="-0.249977111117893"/>
      <name val="Arial CE"/>
      <charset val="238"/>
    </font>
    <font>
      <sz val="18"/>
      <color theme="0" tint="-0.249977111117893"/>
      <name val="Arial CE"/>
      <charset val="238"/>
    </font>
    <font>
      <sz val="8"/>
      <color theme="0" tint="-0.249977111117893"/>
      <name val="Arial CE"/>
      <charset val="238"/>
    </font>
    <font>
      <sz val="9"/>
      <color theme="1"/>
      <name val="Arial CE"/>
      <charset val="238"/>
    </font>
    <font>
      <sz val="9"/>
      <color theme="0"/>
      <name val="Arial CE"/>
      <charset val="238"/>
    </font>
    <font>
      <sz val="8"/>
      <color rgb="FFFF0000"/>
      <name val="Arial"/>
      <family val="2"/>
      <charset val="238"/>
    </font>
    <font>
      <sz val="18"/>
      <color rgb="FFFF0000"/>
      <name val="Arial CE"/>
      <charset val="238"/>
    </font>
    <font>
      <sz val="8"/>
      <color rgb="FFFF0000"/>
      <name val="Arial CE"/>
      <charset val="238"/>
    </font>
    <font>
      <sz val="8"/>
      <color theme="0" tint="-0.499984740745262"/>
      <name val="Arial"/>
      <family val="2"/>
      <charset val="238"/>
    </font>
    <font>
      <sz val="8"/>
      <color theme="1"/>
      <name val="Arial"/>
      <family val="2"/>
      <charset val="238"/>
    </font>
    <font>
      <b/>
      <sz val="10"/>
      <color theme="0" tint="-0.249977111117893"/>
      <name val="Arial CE"/>
      <charset val="238"/>
    </font>
    <font>
      <sz val="9"/>
      <color rgb="FFFF0000"/>
      <name val="Arial CE"/>
      <charset val="238"/>
    </font>
    <font>
      <b/>
      <sz val="8"/>
      <color rgb="FFC00000"/>
      <name val="Arial"/>
      <family val="2"/>
      <charset val="238"/>
    </font>
    <font>
      <sz val="8"/>
      <color theme="0" tint="-0.249977111117893"/>
      <name val="Arial"/>
      <family val="2"/>
      <charset val="238"/>
    </font>
    <font>
      <sz val="8"/>
      <color theme="1"/>
      <name val="Arial CE"/>
      <charset val="238"/>
    </font>
    <font>
      <sz val="8"/>
      <color theme="0"/>
      <name val="Arial"/>
      <family val="2"/>
      <charset val="238"/>
    </font>
    <font>
      <sz val="8"/>
      <color rgb="FFC00000"/>
      <name val="Arial"/>
      <family val="2"/>
      <charset val="238"/>
    </font>
    <font>
      <b/>
      <sz val="12"/>
      <color theme="0" tint="-0.249977111117893"/>
      <name val="Arial CE"/>
      <charset val="238"/>
    </font>
    <font>
      <sz val="9"/>
      <color theme="1"/>
      <name val="Arial CE"/>
      <family val="2"/>
      <charset val="238"/>
    </font>
    <font>
      <b/>
      <sz val="12"/>
      <color theme="3"/>
      <name val="Arial CE"/>
      <charset val="238"/>
    </font>
    <font>
      <b/>
      <sz val="9"/>
      <color theme="1"/>
      <name val="Arial CE"/>
      <charset val="238"/>
    </font>
    <font>
      <sz val="8"/>
      <color rgb="FF000000"/>
      <name val="Tahoma"/>
      <family val="2"/>
      <charset val="238"/>
    </font>
    <font>
      <sz val="10"/>
      <color theme="1"/>
      <name val="Arial CE"/>
      <charset val="238"/>
    </font>
    <font>
      <b/>
      <sz val="8"/>
      <color theme="1"/>
      <name val="Arial"/>
      <family val="2"/>
      <charset val="238"/>
    </font>
    <font>
      <b/>
      <sz val="8"/>
      <color rgb="FFFF0000"/>
      <name val="Arial"/>
      <family val="2"/>
      <charset val="238"/>
    </font>
    <font>
      <b/>
      <sz val="8"/>
      <color indexed="8"/>
      <name val="Arial"/>
      <family val="2"/>
      <charset val="238"/>
    </font>
    <font>
      <sz val="8"/>
      <color rgb="FF002060"/>
      <name val="Arial"/>
      <family val="2"/>
      <charset val="238"/>
    </font>
    <font>
      <b/>
      <sz val="8"/>
      <color rgb="FF002060"/>
      <name val="Arial"/>
      <family val="2"/>
      <charset val="238"/>
    </font>
    <font>
      <sz val="11.5"/>
      <name val="Times New Roman"/>
      <family val="1"/>
      <charset val="238"/>
    </font>
    <font>
      <b/>
      <sz val="11.5"/>
      <name val="Times New Roman"/>
      <family val="1"/>
      <charset val="238"/>
    </font>
    <font>
      <b/>
      <sz val="16"/>
      <name val="Times New Roman"/>
      <family val="1"/>
      <charset val="238"/>
    </font>
    <font>
      <sz val="10"/>
      <name val="Arial CE"/>
      <charset val="238"/>
    </font>
  </fonts>
  <fills count="23">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lightUp">
        <bgColor indexed="9"/>
      </patternFill>
    </fill>
    <fill>
      <patternFill patternType="solid">
        <fgColor indexed="11"/>
        <bgColor indexed="64"/>
      </patternFill>
    </fill>
    <fill>
      <patternFill patternType="solid">
        <fgColor indexed="42"/>
        <bgColor indexed="64"/>
      </patternFill>
    </fill>
    <fill>
      <patternFill patternType="solid">
        <fgColor indexed="47"/>
        <bgColor indexed="64"/>
      </patternFill>
    </fill>
    <fill>
      <patternFill patternType="solid">
        <fgColor theme="0"/>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rgb="FFFFC000"/>
        <bgColor indexed="64"/>
      </patternFill>
    </fill>
    <fill>
      <patternFill patternType="solid">
        <fgColor theme="9" tint="0.39997558519241921"/>
        <bgColor indexed="64"/>
      </patternFill>
    </fill>
    <fill>
      <patternFill patternType="solid">
        <fgColor rgb="FFFFFF00"/>
        <bgColor indexed="64"/>
      </patternFill>
    </fill>
    <fill>
      <patternFill patternType="solid">
        <fgColor theme="0" tint="-0.34998626667073579"/>
        <bgColor indexed="64"/>
      </patternFill>
    </fill>
    <fill>
      <patternFill patternType="solid">
        <fgColor theme="0" tint="-4.9989318521683403E-2"/>
        <bgColor indexed="64"/>
      </patternFill>
    </fill>
    <fill>
      <patternFill patternType="solid">
        <fgColor rgb="FFCCFFCC"/>
        <bgColor indexed="64"/>
      </patternFill>
    </fill>
    <fill>
      <patternFill patternType="solid">
        <fgColor theme="0" tint="-0.14999847407452621"/>
        <bgColor indexed="64"/>
      </patternFill>
    </fill>
    <fill>
      <patternFill patternType="solid">
        <fgColor theme="6" tint="0.39997558519241921"/>
        <bgColor indexed="64"/>
      </patternFill>
    </fill>
    <fill>
      <patternFill patternType="solid">
        <fgColor theme="5" tint="0.59999389629810485"/>
        <bgColor indexed="64"/>
      </patternFill>
    </fill>
    <fill>
      <patternFill patternType="solid">
        <fgColor rgb="FFFFFF99"/>
        <bgColor indexed="64"/>
      </patternFill>
    </fill>
    <fill>
      <patternFill patternType="solid">
        <fgColor rgb="FFFF0000"/>
        <bgColor indexed="64"/>
      </patternFill>
    </fill>
    <fill>
      <patternFill patternType="solid">
        <fgColor theme="6"/>
        <bgColor indexed="64"/>
      </patternFill>
    </fill>
  </fills>
  <borders count="129">
    <border>
      <left/>
      <right/>
      <top/>
      <bottom/>
      <diagonal/>
    </border>
    <border>
      <left/>
      <right/>
      <top/>
      <bottom style="medium">
        <color indexed="23"/>
      </bottom>
      <diagonal/>
    </border>
    <border>
      <left/>
      <right/>
      <top style="medium">
        <color indexed="23"/>
      </top>
      <bottom/>
      <diagonal/>
    </border>
    <border>
      <left/>
      <right style="medium">
        <color indexed="23"/>
      </right>
      <top style="medium">
        <color indexed="23"/>
      </top>
      <bottom/>
      <diagonal/>
    </border>
    <border>
      <left style="medium">
        <color indexed="23"/>
      </left>
      <right/>
      <top/>
      <bottom/>
      <diagonal/>
    </border>
    <border>
      <left style="medium">
        <color indexed="23"/>
      </left>
      <right/>
      <top/>
      <bottom style="medium">
        <color indexed="23"/>
      </bottom>
      <diagonal/>
    </border>
    <border>
      <left/>
      <right style="medium">
        <color indexed="23"/>
      </right>
      <top/>
      <bottom style="medium">
        <color indexed="23"/>
      </bottom>
      <diagonal/>
    </border>
    <border>
      <left style="medium">
        <color indexed="23"/>
      </left>
      <right style="thin">
        <color indexed="22"/>
      </right>
      <top style="medium">
        <color indexed="23"/>
      </top>
      <bottom style="medium">
        <color indexed="23"/>
      </bottom>
      <diagonal/>
    </border>
    <border>
      <left style="thin">
        <color indexed="22"/>
      </left>
      <right style="thin">
        <color indexed="22"/>
      </right>
      <top style="medium">
        <color indexed="23"/>
      </top>
      <bottom style="medium">
        <color indexed="23"/>
      </bottom>
      <diagonal/>
    </border>
    <border>
      <left style="medium">
        <color indexed="23"/>
      </left>
      <right style="thin">
        <color indexed="22"/>
      </right>
      <top/>
      <bottom style="dotted">
        <color indexed="22"/>
      </bottom>
      <diagonal/>
    </border>
    <border>
      <left style="medium">
        <color indexed="23"/>
      </left>
      <right style="thin">
        <color indexed="22"/>
      </right>
      <top style="dotted">
        <color indexed="22"/>
      </top>
      <bottom style="dotted">
        <color indexed="22"/>
      </bottom>
      <diagonal/>
    </border>
    <border>
      <left/>
      <right style="medium">
        <color indexed="23"/>
      </right>
      <top/>
      <bottom/>
      <diagonal/>
    </border>
    <border>
      <left style="medium">
        <color indexed="23"/>
      </left>
      <right style="medium">
        <color indexed="9"/>
      </right>
      <top style="medium">
        <color indexed="9"/>
      </top>
      <bottom style="medium">
        <color indexed="9"/>
      </bottom>
      <diagonal/>
    </border>
    <border>
      <left style="medium">
        <color indexed="23"/>
      </left>
      <right style="medium">
        <color indexed="9"/>
      </right>
      <top style="medium">
        <color indexed="9"/>
      </top>
      <bottom style="dotted">
        <color indexed="22"/>
      </bottom>
      <diagonal/>
    </border>
    <border>
      <left style="medium">
        <color indexed="9"/>
      </left>
      <right style="medium">
        <color indexed="9"/>
      </right>
      <top style="medium">
        <color indexed="9"/>
      </top>
      <bottom style="dotted">
        <color indexed="22"/>
      </bottom>
      <diagonal/>
    </border>
    <border>
      <left style="thin">
        <color indexed="9"/>
      </left>
      <right style="thin">
        <color indexed="9"/>
      </right>
      <top/>
      <bottom style="thin">
        <color indexed="9"/>
      </bottom>
      <diagonal/>
    </border>
    <border>
      <left style="thin">
        <color indexed="9"/>
      </left>
      <right style="thin">
        <color indexed="9"/>
      </right>
      <top style="thin">
        <color indexed="9"/>
      </top>
      <bottom style="thin">
        <color indexed="9"/>
      </bottom>
      <diagonal/>
    </border>
    <border>
      <left style="thin">
        <color indexed="9"/>
      </left>
      <right style="thin">
        <color indexed="9"/>
      </right>
      <top style="thin">
        <color indexed="9"/>
      </top>
      <bottom/>
      <diagonal/>
    </border>
    <border>
      <left/>
      <right style="thin">
        <color indexed="9"/>
      </right>
      <top style="thin">
        <color indexed="9"/>
      </top>
      <bottom style="thin">
        <color indexed="9"/>
      </bottom>
      <diagonal/>
    </border>
    <border>
      <left/>
      <right style="thin">
        <color indexed="9"/>
      </right>
      <top/>
      <bottom style="thin">
        <color indexed="9"/>
      </bottom>
      <diagonal/>
    </border>
    <border>
      <left style="thin">
        <color indexed="9"/>
      </left>
      <right/>
      <top/>
      <bottom style="thin">
        <color indexed="9"/>
      </bottom>
      <diagonal/>
    </border>
    <border>
      <left style="thin">
        <color indexed="9"/>
      </left>
      <right/>
      <top style="thin">
        <color indexed="9"/>
      </top>
      <bottom style="thin">
        <color indexed="9"/>
      </bottom>
      <diagonal/>
    </border>
    <border>
      <left style="thin">
        <color indexed="9"/>
      </left>
      <right/>
      <top style="thin">
        <color indexed="9"/>
      </top>
      <bottom/>
      <diagonal/>
    </border>
    <border>
      <left style="medium">
        <color indexed="23"/>
      </left>
      <right/>
      <top style="medium">
        <color indexed="23"/>
      </top>
      <bottom/>
      <diagonal/>
    </border>
    <border>
      <left style="medium">
        <color indexed="23"/>
      </left>
      <right/>
      <top style="medium">
        <color indexed="23"/>
      </top>
      <bottom style="medium">
        <color indexed="23"/>
      </bottom>
      <diagonal/>
    </border>
    <border>
      <left/>
      <right/>
      <top style="medium">
        <color indexed="23"/>
      </top>
      <bottom style="medium">
        <color indexed="23"/>
      </bottom>
      <diagonal/>
    </border>
    <border>
      <left style="thin">
        <color indexed="22"/>
      </left>
      <right style="thin">
        <color indexed="22"/>
      </right>
      <top/>
      <bottom style="dotted">
        <color indexed="22"/>
      </bottom>
      <diagonal/>
    </border>
    <border>
      <left style="medium">
        <color indexed="9"/>
      </left>
      <right style="medium">
        <color indexed="9"/>
      </right>
      <top style="medium">
        <color indexed="9"/>
      </top>
      <bottom style="medium">
        <color indexed="9"/>
      </bottom>
      <diagonal/>
    </border>
    <border>
      <left style="medium">
        <color indexed="9"/>
      </left>
      <right/>
      <top style="medium">
        <color indexed="9"/>
      </top>
      <bottom style="dotted">
        <color indexed="22"/>
      </bottom>
      <diagonal/>
    </border>
    <border>
      <left/>
      <right style="medium">
        <color indexed="9"/>
      </right>
      <top style="medium">
        <color indexed="9"/>
      </top>
      <bottom style="dotted">
        <color indexed="22"/>
      </bottom>
      <diagonal/>
    </border>
    <border>
      <left/>
      <right/>
      <top style="medium">
        <color indexed="9"/>
      </top>
      <bottom style="dotted">
        <color indexed="22"/>
      </bottom>
      <diagonal/>
    </border>
    <border>
      <left/>
      <right style="medium">
        <color indexed="23"/>
      </right>
      <top style="medium">
        <color indexed="9"/>
      </top>
      <bottom style="dotted">
        <color indexed="22"/>
      </bottom>
      <diagonal/>
    </border>
    <border>
      <left/>
      <right/>
      <top/>
      <bottom style="dotted">
        <color indexed="22"/>
      </bottom>
      <diagonal/>
    </border>
    <border>
      <left style="medium">
        <color indexed="23"/>
      </left>
      <right style="medium">
        <color indexed="9"/>
      </right>
      <top/>
      <bottom style="medium">
        <color indexed="9"/>
      </bottom>
      <diagonal/>
    </border>
    <border>
      <left style="thin">
        <color indexed="64"/>
      </left>
      <right style="thin">
        <color indexed="64"/>
      </right>
      <top style="thin">
        <color indexed="64"/>
      </top>
      <bottom style="thin">
        <color indexed="64"/>
      </bottom>
      <diagonal/>
    </border>
    <border>
      <left style="thin">
        <color indexed="22"/>
      </left>
      <right style="thin">
        <color indexed="22"/>
      </right>
      <top style="thin">
        <color indexed="23"/>
      </top>
      <bottom style="dotted">
        <color indexed="22"/>
      </bottom>
      <diagonal/>
    </border>
    <border>
      <left style="thin">
        <color indexed="22"/>
      </left>
      <right style="thin">
        <color indexed="22"/>
      </right>
      <top style="dotted">
        <color indexed="22"/>
      </top>
      <bottom style="dotted">
        <color indexed="22"/>
      </bottom>
      <diagonal/>
    </border>
    <border>
      <left style="thin">
        <color indexed="22"/>
      </left>
      <right style="thin">
        <color indexed="22"/>
      </right>
      <top style="dotted">
        <color indexed="22"/>
      </top>
      <bottom style="dashed">
        <color indexed="22"/>
      </bottom>
      <diagonal/>
    </border>
    <border>
      <left/>
      <right/>
      <top/>
      <bottom style="thin">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22"/>
      </left>
      <right/>
      <top style="dotted">
        <color indexed="22"/>
      </top>
      <bottom style="dotted">
        <color indexed="22"/>
      </bottom>
      <diagonal/>
    </border>
    <border>
      <left/>
      <right/>
      <top style="dotted">
        <color indexed="22"/>
      </top>
      <bottom style="dotted">
        <color indexed="22"/>
      </bottom>
      <diagonal/>
    </border>
    <border>
      <left/>
      <right style="thin">
        <color indexed="22"/>
      </right>
      <top style="dotted">
        <color indexed="22"/>
      </top>
      <bottom style="dotted">
        <color indexed="22"/>
      </bottom>
      <diagonal/>
    </border>
    <border>
      <left style="thin">
        <color indexed="22"/>
      </left>
      <right style="medium">
        <color indexed="23"/>
      </right>
      <top style="dotted">
        <color indexed="22"/>
      </top>
      <bottom style="dotted">
        <color indexed="22"/>
      </bottom>
      <diagonal/>
    </border>
    <border>
      <left style="medium">
        <color indexed="23"/>
      </left>
      <right/>
      <top style="dotted">
        <color indexed="22"/>
      </top>
      <bottom style="medium">
        <color indexed="23"/>
      </bottom>
      <diagonal/>
    </border>
    <border>
      <left/>
      <right/>
      <top style="dotted">
        <color indexed="22"/>
      </top>
      <bottom style="medium">
        <color indexed="23"/>
      </bottom>
      <diagonal/>
    </border>
    <border>
      <left/>
      <right style="medium">
        <color indexed="23"/>
      </right>
      <top style="dotted">
        <color indexed="22"/>
      </top>
      <bottom style="medium">
        <color indexed="23"/>
      </bottom>
      <diagonal/>
    </border>
    <border>
      <left style="medium">
        <color indexed="9"/>
      </left>
      <right/>
      <top/>
      <bottom/>
      <diagonal/>
    </border>
    <border>
      <left/>
      <right style="medium">
        <color indexed="9"/>
      </right>
      <top/>
      <bottom/>
      <diagonal/>
    </border>
    <border>
      <left style="thin">
        <color indexed="22"/>
      </left>
      <right style="medium">
        <color indexed="23"/>
      </right>
      <top style="dotted">
        <color indexed="22"/>
      </top>
      <bottom style="dashed">
        <color indexed="22"/>
      </bottom>
      <diagonal/>
    </border>
    <border>
      <left/>
      <right/>
      <top style="thin">
        <color indexed="22"/>
      </top>
      <bottom/>
      <diagonal/>
    </border>
    <border>
      <left/>
      <right/>
      <top style="thin">
        <color indexed="23"/>
      </top>
      <bottom style="thin">
        <color indexed="23"/>
      </bottom>
      <diagonal/>
    </border>
    <border>
      <left/>
      <right style="medium">
        <color indexed="23"/>
      </right>
      <top style="thin">
        <color indexed="23"/>
      </top>
      <bottom style="thin">
        <color indexed="23"/>
      </bottom>
      <diagonal/>
    </border>
    <border>
      <left/>
      <right/>
      <top/>
      <bottom style="thin">
        <color indexed="22"/>
      </bottom>
      <diagonal/>
    </border>
    <border>
      <left/>
      <right/>
      <top style="thin">
        <color indexed="23"/>
      </top>
      <bottom/>
      <diagonal/>
    </border>
    <border>
      <left style="medium">
        <color indexed="9"/>
      </left>
      <right/>
      <top/>
      <bottom style="medium">
        <color indexed="9"/>
      </bottom>
      <diagonal/>
    </border>
    <border>
      <left/>
      <right/>
      <top/>
      <bottom style="medium">
        <color indexed="9"/>
      </bottom>
      <diagonal/>
    </border>
    <border>
      <left/>
      <right style="medium">
        <color indexed="23"/>
      </right>
      <top/>
      <bottom style="medium">
        <color indexed="9"/>
      </bottom>
      <diagonal/>
    </border>
    <border>
      <left/>
      <right/>
      <top style="medium">
        <color indexed="23"/>
      </top>
      <bottom style="thin">
        <color indexed="23"/>
      </bottom>
      <diagonal/>
    </border>
    <border>
      <left/>
      <right style="medium">
        <color indexed="23"/>
      </right>
      <top style="medium">
        <color indexed="23"/>
      </top>
      <bottom style="thin">
        <color indexed="23"/>
      </bottom>
      <diagonal/>
    </border>
    <border>
      <left style="thin">
        <color indexed="22"/>
      </left>
      <right/>
      <top style="thin">
        <color indexed="23"/>
      </top>
      <bottom style="dotted">
        <color indexed="22"/>
      </bottom>
      <diagonal/>
    </border>
    <border>
      <left/>
      <right style="thin">
        <color indexed="22"/>
      </right>
      <top style="thin">
        <color indexed="23"/>
      </top>
      <bottom style="dotted">
        <color indexed="22"/>
      </bottom>
      <diagonal/>
    </border>
    <border>
      <left/>
      <right style="medium">
        <color indexed="23"/>
      </right>
      <top style="medium">
        <color indexed="23"/>
      </top>
      <bottom style="medium">
        <color indexed="23"/>
      </bottom>
      <diagonal/>
    </border>
    <border>
      <left style="thin">
        <color indexed="22"/>
      </left>
      <right/>
      <top style="medium">
        <color indexed="23"/>
      </top>
      <bottom style="medium">
        <color indexed="23"/>
      </bottom>
      <diagonal/>
    </border>
    <border>
      <left/>
      <right style="thin">
        <color indexed="22"/>
      </right>
      <top style="medium">
        <color indexed="23"/>
      </top>
      <bottom style="medium">
        <color indexed="23"/>
      </bottom>
      <diagonal/>
    </border>
    <border>
      <left style="medium">
        <color indexed="23"/>
      </left>
      <right/>
      <top style="medium">
        <color indexed="23"/>
      </top>
      <bottom style="thin">
        <color indexed="23"/>
      </bottom>
      <diagonal/>
    </border>
    <border>
      <left/>
      <right/>
      <top/>
      <bottom style="thin">
        <color indexed="23"/>
      </bottom>
      <diagonal/>
    </border>
    <border>
      <left/>
      <right style="medium">
        <color indexed="23"/>
      </right>
      <top/>
      <bottom style="thin">
        <color indexed="23"/>
      </bottom>
      <diagonal/>
    </border>
    <border>
      <left/>
      <right/>
      <top style="thin">
        <color indexed="23"/>
      </top>
      <bottom style="dotted">
        <color indexed="22"/>
      </bottom>
      <diagonal/>
    </border>
    <border>
      <left style="thin">
        <color indexed="22"/>
      </left>
      <right style="medium">
        <color indexed="23"/>
      </right>
      <top style="medium">
        <color indexed="23"/>
      </top>
      <bottom style="medium">
        <color indexed="23"/>
      </bottom>
      <diagonal/>
    </border>
    <border>
      <left style="thin">
        <color indexed="22"/>
      </left>
      <right style="medium">
        <color indexed="23"/>
      </right>
      <top style="thin">
        <color indexed="23"/>
      </top>
      <bottom style="dotted">
        <color indexed="22"/>
      </bottom>
      <diagonal/>
    </border>
    <border>
      <left/>
      <right/>
      <top style="medium">
        <color indexed="22"/>
      </top>
      <bottom style="medium">
        <color indexed="22"/>
      </bottom>
      <diagonal/>
    </border>
    <border>
      <left/>
      <right style="medium">
        <color indexed="23"/>
      </right>
      <top style="medium">
        <color indexed="22"/>
      </top>
      <bottom style="medium">
        <color indexed="22"/>
      </bottom>
      <diagonal/>
    </border>
    <border>
      <left/>
      <right/>
      <top/>
      <bottom style="medium">
        <color indexed="22"/>
      </bottom>
      <diagonal/>
    </border>
    <border>
      <left/>
      <right style="medium">
        <color indexed="23"/>
      </right>
      <top/>
      <bottom style="medium">
        <color indexed="22"/>
      </bottom>
      <diagonal/>
    </border>
    <border>
      <left/>
      <right/>
      <top style="medium">
        <color indexed="23"/>
      </top>
      <bottom style="medium">
        <color indexed="22"/>
      </bottom>
      <diagonal/>
    </border>
    <border>
      <left/>
      <right style="medium">
        <color indexed="23"/>
      </right>
      <top style="medium">
        <color indexed="23"/>
      </top>
      <bottom style="medium">
        <color indexed="22"/>
      </bottom>
      <diagonal/>
    </border>
    <border>
      <left style="thin">
        <color indexed="22"/>
      </left>
      <right style="medium">
        <color indexed="23"/>
      </right>
      <top/>
      <bottom style="dotted">
        <color indexed="22"/>
      </bottom>
      <diagonal/>
    </border>
    <border>
      <left style="thin">
        <color indexed="22"/>
      </left>
      <right/>
      <top/>
      <bottom style="dotted">
        <color indexed="22"/>
      </bottom>
      <diagonal/>
    </border>
    <border>
      <left/>
      <right style="thin">
        <color indexed="22"/>
      </right>
      <top/>
      <bottom style="dotted">
        <color indexed="22"/>
      </bottom>
      <diagonal/>
    </border>
    <border>
      <left/>
      <right/>
      <top style="medium">
        <color indexed="55"/>
      </top>
      <bottom style="medium">
        <color indexed="23"/>
      </bottom>
      <diagonal/>
    </border>
    <border>
      <left/>
      <right/>
      <top style="medium">
        <color indexed="55"/>
      </top>
      <bottom style="medium">
        <color indexed="55"/>
      </bottom>
      <diagonal/>
    </border>
    <border>
      <left style="medium">
        <color indexed="23"/>
      </left>
      <right/>
      <top style="dotted">
        <color indexed="22"/>
      </top>
      <bottom style="dotted">
        <color indexed="22"/>
      </bottom>
      <diagonal/>
    </border>
    <border>
      <left/>
      <right style="medium">
        <color indexed="23"/>
      </right>
      <top style="dotted">
        <color indexed="22"/>
      </top>
      <bottom style="dotted">
        <color indexed="22"/>
      </bottom>
      <diagonal/>
    </border>
    <border>
      <left/>
      <right/>
      <top/>
      <bottom style="medium">
        <color indexed="55"/>
      </bottom>
      <diagonal/>
    </border>
    <border>
      <left style="thin">
        <color indexed="9"/>
      </left>
      <right/>
      <top/>
      <bottom/>
      <diagonal/>
    </border>
    <border>
      <left/>
      <right style="thin">
        <color indexed="9"/>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9"/>
      </top>
      <bottom style="thin">
        <color indexed="9"/>
      </bottom>
      <diagonal/>
    </border>
    <border>
      <left/>
      <right/>
      <top/>
      <bottom style="thin">
        <color indexed="9"/>
      </bottom>
      <diagonal/>
    </border>
    <border>
      <left style="thin">
        <color indexed="9"/>
      </left>
      <right style="thin">
        <color indexed="9"/>
      </right>
      <top/>
      <bottom/>
      <diagonal/>
    </border>
    <border>
      <left style="medium">
        <color indexed="9"/>
      </left>
      <right/>
      <top/>
      <bottom style="dotted">
        <color theme="0" tint="-0.34998626667073579"/>
      </bottom>
      <diagonal/>
    </border>
    <border>
      <left/>
      <right/>
      <top/>
      <bottom style="dotted">
        <color theme="0" tint="-0.34998626667073579"/>
      </bottom>
      <diagonal/>
    </border>
    <border>
      <left/>
      <right style="medium">
        <color indexed="9"/>
      </right>
      <top/>
      <bottom style="dotted">
        <color theme="0" tint="-0.34998626667073579"/>
      </bottom>
      <diagonal/>
    </border>
    <border>
      <left style="thin">
        <color theme="1"/>
      </left>
      <right style="thin">
        <color theme="1"/>
      </right>
      <top style="thin">
        <color theme="1"/>
      </top>
      <bottom style="thin">
        <color theme="1"/>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medium">
        <color theme="1"/>
      </left>
      <right style="medium">
        <color theme="1"/>
      </right>
      <top style="medium">
        <color theme="1"/>
      </top>
      <bottom style="medium">
        <color theme="1"/>
      </bottom>
      <diagonal/>
    </border>
    <border>
      <left style="medium">
        <color theme="1"/>
      </left>
      <right/>
      <top style="medium">
        <color theme="1"/>
      </top>
      <bottom/>
      <diagonal/>
    </border>
    <border>
      <left/>
      <right/>
      <top style="medium">
        <color theme="1"/>
      </top>
      <bottom/>
      <diagonal/>
    </border>
    <border>
      <left/>
      <right style="medium">
        <color theme="1"/>
      </right>
      <top style="medium">
        <color theme="1"/>
      </top>
      <bottom/>
      <diagonal/>
    </border>
    <border>
      <left style="medium">
        <color theme="1"/>
      </left>
      <right/>
      <top/>
      <bottom style="medium">
        <color theme="1"/>
      </bottom>
      <diagonal/>
    </border>
    <border>
      <left/>
      <right/>
      <top/>
      <bottom style="medium">
        <color theme="1"/>
      </bottom>
      <diagonal/>
    </border>
    <border>
      <left/>
      <right style="medium">
        <color theme="1"/>
      </right>
      <top/>
      <bottom style="medium">
        <color theme="1"/>
      </bottom>
      <diagonal/>
    </border>
    <border>
      <left style="medium">
        <color theme="1"/>
      </left>
      <right/>
      <top style="medium">
        <color theme="1"/>
      </top>
      <bottom style="medium">
        <color theme="1"/>
      </bottom>
      <diagonal/>
    </border>
    <border>
      <left/>
      <right/>
      <top style="medium">
        <color theme="1"/>
      </top>
      <bottom style="medium">
        <color theme="1"/>
      </bottom>
      <diagonal/>
    </border>
    <border>
      <left/>
      <right style="medium">
        <color theme="1"/>
      </right>
      <top style="medium">
        <color theme="1"/>
      </top>
      <bottom style="medium">
        <color theme="1"/>
      </bottom>
      <diagonal/>
    </border>
    <border>
      <left style="thin">
        <color theme="1"/>
      </left>
      <right style="thin">
        <color theme="1"/>
      </right>
      <top style="thin">
        <color theme="1"/>
      </top>
      <bottom/>
      <diagonal/>
    </border>
    <border>
      <left style="thin">
        <color theme="1"/>
      </left>
      <right style="thin">
        <color theme="1"/>
      </right>
      <top/>
      <bottom style="thin">
        <color theme="1"/>
      </bottom>
      <diagonal/>
    </border>
    <border>
      <left style="thin">
        <color theme="1"/>
      </left>
      <right/>
      <top style="thin">
        <color theme="1"/>
      </top>
      <bottom style="thin">
        <color theme="1"/>
      </bottom>
      <diagonal/>
    </border>
    <border>
      <left/>
      <right style="thin">
        <color theme="1"/>
      </right>
      <top style="thin">
        <color theme="1"/>
      </top>
      <bottom style="thin">
        <color theme="1"/>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9"/>
      </bottom>
      <diagonal/>
    </border>
    <border>
      <left style="medium">
        <color indexed="64"/>
      </left>
      <right style="medium">
        <color indexed="64"/>
      </right>
      <top style="thin">
        <color indexed="9"/>
      </top>
      <bottom style="thin">
        <color indexed="9"/>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s>
  <cellStyleXfs count="6">
    <xf numFmtId="0" fontId="0" fillId="0" borderId="0"/>
    <xf numFmtId="0" fontId="21" fillId="0" borderId="0" applyNumberFormat="0" applyFill="0" applyBorder="0" applyAlignment="0" applyProtection="0">
      <alignment vertical="top"/>
      <protection locked="0"/>
    </xf>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99" fillId="0" borderId="0"/>
  </cellStyleXfs>
  <cellXfs count="580">
    <xf numFmtId="0" fontId="0" fillId="0" borderId="0" xfId="0"/>
    <xf numFmtId="0" fontId="2" fillId="2" borderId="0" xfId="0" applyFont="1" applyFill="1"/>
    <xf numFmtId="0" fontId="2" fillId="2" borderId="1" xfId="0" applyFont="1" applyFill="1" applyBorder="1"/>
    <xf numFmtId="0" fontId="3" fillId="2" borderId="0" xfId="0" applyFont="1" applyFill="1"/>
    <xf numFmtId="0" fontId="3" fillId="2" borderId="2" xfId="0" applyFont="1" applyFill="1" applyBorder="1"/>
    <xf numFmtId="0" fontId="5" fillId="2" borderId="2" xfId="0" applyFont="1" applyFill="1" applyBorder="1"/>
    <xf numFmtId="0" fontId="3" fillId="2" borderId="3" xfId="0" applyFont="1" applyFill="1" applyBorder="1"/>
    <xf numFmtId="0" fontId="2" fillId="2" borderId="4" xfId="0" applyFont="1" applyFill="1" applyBorder="1"/>
    <xf numFmtId="0" fontId="2" fillId="2" borderId="5" xfId="0" applyFont="1" applyFill="1" applyBorder="1"/>
    <xf numFmtId="0" fontId="2" fillId="2" borderId="6" xfId="0" applyFont="1" applyFill="1" applyBorder="1"/>
    <xf numFmtId="0" fontId="6" fillId="2" borderId="1" xfId="0" applyFont="1" applyFill="1" applyBorder="1" applyAlignment="1">
      <alignment horizontal="right"/>
    </xf>
    <xf numFmtId="0" fontId="12" fillId="2" borderId="0" xfId="0" applyFont="1" applyFill="1"/>
    <xf numFmtId="0" fontId="9" fillId="2" borderId="0" xfId="0" applyFont="1" applyFill="1" applyAlignment="1">
      <alignment vertical="center" wrapText="1"/>
    </xf>
    <xf numFmtId="0" fontId="14" fillId="2" borderId="7" xfId="0" applyFont="1" applyFill="1" applyBorder="1" applyAlignment="1">
      <alignment horizontal="center" vertical="center" wrapText="1"/>
    </xf>
    <xf numFmtId="0" fontId="14" fillId="2" borderId="8" xfId="0" applyFont="1" applyFill="1" applyBorder="1" applyAlignment="1">
      <alignment horizontal="center" vertical="center" wrapText="1"/>
    </xf>
    <xf numFmtId="0" fontId="9" fillId="2" borderId="0" xfId="0" applyFont="1" applyFill="1" applyAlignment="1">
      <alignment horizontal="center" vertical="center" wrapText="1"/>
    </xf>
    <xf numFmtId="0" fontId="9" fillId="2" borderId="0" xfId="0" applyFont="1" applyFill="1"/>
    <xf numFmtId="0" fontId="9" fillId="2" borderId="0" xfId="0" applyFont="1" applyFill="1" applyAlignment="1">
      <alignment horizontal="center" vertical="center"/>
    </xf>
    <xf numFmtId="0" fontId="9" fillId="2" borderId="9" xfId="0" applyFont="1" applyFill="1" applyBorder="1" applyAlignment="1">
      <alignment horizontal="center" vertical="center"/>
    </xf>
    <xf numFmtId="0" fontId="9" fillId="2" borderId="10" xfId="0" applyFont="1" applyFill="1" applyBorder="1" applyAlignment="1">
      <alignment horizontal="center" vertical="center"/>
    </xf>
    <xf numFmtId="0" fontId="11" fillId="2" borderId="0" xfId="0" applyFont="1" applyFill="1" applyAlignment="1">
      <alignment horizontal="justify" vertical="top" wrapText="1"/>
    </xf>
    <xf numFmtId="0" fontId="18" fillId="2" borderId="0" xfId="0" applyFont="1" applyFill="1" applyAlignment="1">
      <alignment horizontal="left" vertical="top"/>
    </xf>
    <xf numFmtId="0" fontId="10" fillId="2" borderId="0" xfId="0" applyFont="1" applyFill="1" applyAlignment="1">
      <alignment horizontal="center"/>
    </xf>
    <xf numFmtId="0" fontId="16" fillId="2" borderId="11" xfId="0" applyFont="1" applyFill="1" applyBorder="1" applyAlignment="1">
      <alignment horizontal="center"/>
    </xf>
    <xf numFmtId="0" fontId="11" fillId="2" borderId="0" xfId="0" applyFont="1" applyFill="1" applyAlignment="1">
      <alignment horizontal="justify" vertical="top"/>
    </xf>
    <xf numFmtId="0" fontId="7" fillId="2" borderId="0" xfId="0" applyFont="1" applyFill="1" applyAlignment="1">
      <alignment horizontal="right" vertical="center"/>
    </xf>
    <xf numFmtId="0" fontId="8" fillId="2" borderId="0" xfId="0" applyFont="1" applyFill="1" applyAlignment="1">
      <alignment horizontal="right"/>
    </xf>
    <xf numFmtId="0" fontId="9" fillId="2" borderId="0" xfId="0" applyFont="1" applyFill="1" applyAlignment="1">
      <alignment vertical="center"/>
    </xf>
    <xf numFmtId="0" fontId="9" fillId="2" borderId="11" xfId="0" applyFont="1" applyFill="1" applyBorder="1" applyAlignment="1">
      <alignment vertical="center"/>
    </xf>
    <xf numFmtId="0" fontId="10" fillId="2" borderId="0" xfId="0" applyFont="1" applyFill="1" applyAlignment="1">
      <alignment vertical="center"/>
    </xf>
    <xf numFmtId="0" fontId="4" fillId="2" borderId="2" xfId="0" applyFont="1" applyFill="1" applyBorder="1" applyAlignment="1">
      <alignment vertical="center"/>
    </xf>
    <xf numFmtId="0" fontId="2" fillId="2" borderId="0" xfId="0" applyFont="1" applyFill="1" applyAlignment="1">
      <alignment horizontal="right" vertical="center"/>
    </xf>
    <xf numFmtId="0" fontId="8" fillId="2" borderId="0" xfId="0" applyFont="1" applyFill="1"/>
    <xf numFmtId="0" fontId="14" fillId="2" borderId="0" xfId="0" applyFont="1" applyFill="1" applyAlignment="1">
      <alignment vertical="center"/>
    </xf>
    <xf numFmtId="0" fontId="9" fillId="2" borderId="0" xfId="0" applyFont="1" applyFill="1" applyAlignment="1">
      <alignment horizontal="right" vertical="center"/>
    </xf>
    <xf numFmtId="0" fontId="2" fillId="3" borderId="0" xfId="0" applyFont="1" applyFill="1"/>
    <xf numFmtId="0" fontId="3" fillId="3" borderId="0" xfId="0" applyFont="1" applyFill="1"/>
    <xf numFmtId="0" fontId="12" fillId="3" borderId="0" xfId="0" applyFont="1" applyFill="1"/>
    <xf numFmtId="0" fontId="9" fillId="3" borderId="0" xfId="0" applyFont="1" applyFill="1" applyAlignment="1">
      <alignment horizontal="center" vertical="center" wrapText="1"/>
    </xf>
    <xf numFmtId="0" fontId="9" fillId="3" borderId="0" xfId="0" applyFont="1" applyFill="1" applyAlignment="1">
      <alignment horizontal="center" vertical="center"/>
    </xf>
    <xf numFmtId="0" fontId="2" fillId="3" borderId="0" xfId="0" applyFont="1" applyFill="1" applyAlignment="1">
      <alignment vertical="top"/>
    </xf>
    <xf numFmtId="0" fontId="9" fillId="2" borderId="12" xfId="0" applyFont="1" applyFill="1" applyBorder="1" applyAlignment="1">
      <alignment horizontal="center" vertical="center"/>
    </xf>
    <xf numFmtId="0" fontId="9" fillId="2" borderId="13" xfId="0" applyFont="1" applyFill="1" applyBorder="1" applyAlignment="1">
      <alignment horizontal="center" vertical="center"/>
    </xf>
    <xf numFmtId="164" fontId="9" fillId="2" borderId="14" xfId="2" applyNumberFormat="1" applyFont="1" applyFill="1" applyBorder="1" applyAlignment="1">
      <alignment horizontal="center" vertical="center"/>
    </xf>
    <xf numFmtId="9" fontId="9" fillId="2" borderId="14" xfId="3" applyFont="1" applyFill="1" applyBorder="1" applyAlignment="1">
      <alignment horizontal="center" vertical="center"/>
    </xf>
    <xf numFmtId="0" fontId="0" fillId="2" borderId="0" xfId="0" applyFill="1"/>
    <xf numFmtId="0" fontId="0" fillId="2" borderId="0" xfId="0" applyFill="1" applyAlignment="1">
      <alignment textRotation="90"/>
    </xf>
    <xf numFmtId="0" fontId="0" fillId="2" borderId="0" xfId="0" applyFill="1" applyAlignment="1">
      <alignment horizontal="right"/>
    </xf>
    <xf numFmtId="0" fontId="0" fillId="2" borderId="0" xfId="0" applyFill="1" applyAlignment="1">
      <alignment horizontal="left"/>
    </xf>
    <xf numFmtId="0" fontId="0" fillId="4" borderId="0" xfId="0" applyFill="1"/>
    <xf numFmtId="0" fontId="0" fillId="5" borderId="0" xfId="0" applyFill="1"/>
    <xf numFmtId="0" fontId="24" fillId="2" borderId="0" xfId="0" applyFont="1" applyFill="1"/>
    <xf numFmtId="0" fontId="24" fillId="2" borderId="0" xfId="0" applyFont="1" applyFill="1" applyAlignment="1">
      <alignment horizontal="center"/>
    </xf>
    <xf numFmtId="0" fontId="23" fillId="0" borderId="0" xfId="0" applyFont="1"/>
    <xf numFmtId="0" fontId="23" fillId="0" borderId="0" xfId="0" applyFont="1" applyAlignment="1">
      <alignment horizontal="center"/>
    </xf>
    <xf numFmtId="164" fontId="23" fillId="0" borderId="0" xfId="2" applyNumberFormat="1" applyFont="1"/>
    <xf numFmtId="0" fontId="27" fillId="0" borderId="0" xfId="0" applyFont="1"/>
    <xf numFmtId="0" fontId="23" fillId="3" borderId="0" xfId="0" applyFont="1" applyFill="1"/>
    <xf numFmtId="0" fontId="28" fillId="3" borderId="15" xfId="0" applyFont="1" applyFill="1" applyBorder="1" applyAlignment="1">
      <alignment horizontal="center"/>
    </xf>
    <xf numFmtId="0" fontId="28" fillId="3" borderId="16" xfId="0" applyFont="1" applyFill="1" applyBorder="1" applyAlignment="1">
      <alignment horizontal="center"/>
    </xf>
    <xf numFmtId="0" fontId="28" fillId="3" borderId="17" xfId="0" applyFont="1" applyFill="1" applyBorder="1" applyAlignment="1">
      <alignment horizontal="center"/>
    </xf>
    <xf numFmtId="164" fontId="28" fillId="3" borderId="17" xfId="2" applyNumberFormat="1" applyFont="1" applyFill="1" applyBorder="1" applyAlignment="1">
      <alignment horizontal="center"/>
    </xf>
    <xf numFmtId="0" fontId="28" fillId="3" borderId="18" xfId="0" applyFont="1" applyFill="1" applyBorder="1" applyAlignment="1">
      <alignment horizontal="center"/>
    </xf>
    <xf numFmtId="0" fontId="28" fillId="0" borderId="15" xfId="0" applyFont="1" applyBorder="1" applyAlignment="1">
      <alignment horizontal="center"/>
    </xf>
    <xf numFmtId="0" fontId="28" fillId="0" borderId="16" xfId="0" applyFont="1" applyBorder="1" applyAlignment="1">
      <alignment horizontal="center"/>
    </xf>
    <xf numFmtId="0" fontId="28" fillId="0" borderId="17" xfId="0" applyFont="1" applyBorder="1" applyAlignment="1">
      <alignment horizontal="center"/>
    </xf>
    <xf numFmtId="0" fontId="27" fillId="3" borderId="19" xfId="0" applyFont="1" applyFill="1" applyBorder="1"/>
    <xf numFmtId="0" fontId="23" fillId="3" borderId="20" xfId="0" applyFont="1" applyFill="1" applyBorder="1"/>
    <xf numFmtId="0" fontId="27" fillId="3" borderId="18" xfId="0" applyFont="1" applyFill="1" applyBorder="1"/>
    <xf numFmtId="0" fontId="23" fillId="3" borderId="21" xfId="0" applyFont="1" applyFill="1" applyBorder="1"/>
    <xf numFmtId="0" fontId="27" fillId="3" borderId="21" xfId="0" applyFont="1" applyFill="1" applyBorder="1"/>
    <xf numFmtId="166" fontId="27" fillId="3" borderId="21" xfId="0" applyNumberFormat="1" applyFont="1" applyFill="1" applyBorder="1"/>
    <xf numFmtId="166" fontId="28" fillId="3" borderId="21" xfId="0" applyNumberFormat="1" applyFont="1" applyFill="1" applyBorder="1"/>
    <xf numFmtId="166" fontId="27" fillId="3" borderId="22" xfId="0" applyNumberFormat="1" applyFont="1" applyFill="1" applyBorder="1"/>
    <xf numFmtId="0" fontId="29" fillId="0" borderId="0" xfId="0" applyFont="1"/>
    <xf numFmtId="0" fontId="23" fillId="3" borderId="0" xfId="0" applyFont="1" applyFill="1" applyAlignment="1">
      <alignment horizontal="right"/>
    </xf>
    <xf numFmtId="0" fontId="23" fillId="6" borderId="0" xfId="0" applyFont="1" applyFill="1"/>
    <xf numFmtId="0" fontId="23" fillId="6" borderId="0" xfId="0" applyFont="1" applyFill="1" applyAlignment="1">
      <alignment horizontal="right"/>
    </xf>
    <xf numFmtId="0" fontId="31" fillId="0" borderId="0" xfId="0" applyFont="1"/>
    <xf numFmtId="9" fontId="31" fillId="0" borderId="0" xfId="3" applyFont="1"/>
    <xf numFmtId="0" fontId="23" fillId="7" borderId="0" xfId="0" applyFont="1" applyFill="1" applyAlignment="1">
      <alignment horizontal="center"/>
    </xf>
    <xf numFmtId="0" fontId="23" fillId="7" borderId="0" xfId="0" applyFont="1" applyFill="1"/>
    <xf numFmtId="0" fontId="30" fillId="0" borderId="0" xfId="0" applyFont="1"/>
    <xf numFmtId="0" fontId="34" fillId="2" borderId="23" xfId="0" applyFont="1" applyFill="1" applyBorder="1" applyAlignment="1">
      <alignment vertical="center"/>
    </xf>
    <xf numFmtId="0" fontId="20" fillId="2" borderId="0" xfId="0" applyFont="1" applyFill="1" applyAlignment="1">
      <alignment horizontal="center"/>
    </xf>
    <xf numFmtId="0" fontId="37" fillId="2" borderId="24" xfId="0" quotePrefix="1" applyFont="1" applyFill="1" applyBorder="1" applyAlignment="1">
      <alignment horizontal="left" vertical="center"/>
    </xf>
    <xf numFmtId="0" fontId="37" fillId="2" borderId="25" xfId="0" quotePrefix="1" applyFont="1" applyFill="1" applyBorder="1" applyAlignment="1">
      <alignment horizontal="left" vertical="center"/>
    </xf>
    <xf numFmtId="0" fontId="38" fillId="2" borderId="25" xfId="0" applyFont="1" applyFill="1" applyBorder="1"/>
    <xf numFmtId="0" fontId="37" fillId="2" borderId="25" xfId="0" applyFont="1" applyFill="1" applyBorder="1" applyAlignment="1">
      <alignment horizontal="right" vertical="center"/>
    </xf>
    <xf numFmtId="0" fontId="4" fillId="2" borderId="23" xfId="0" applyFont="1" applyFill="1" applyBorder="1" applyAlignment="1">
      <alignment vertical="center"/>
    </xf>
    <xf numFmtId="0" fontId="5" fillId="2" borderId="3" xfId="0" applyFont="1" applyFill="1" applyBorder="1"/>
    <xf numFmtId="0" fontId="11" fillId="2" borderId="1" xfId="0" applyFont="1" applyFill="1" applyBorder="1" applyAlignment="1">
      <alignment vertical="center"/>
    </xf>
    <xf numFmtId="0" fontId="39" fillId="2" borderId="0" xfId="0" applyFont="1" applyFill="1"/>
    <xf numFmtId="164" fontId="9" fillId="2" borderId="26" xfId="2" applyNumberFormat="1" applyFont="1" applyFill="1" applyBorder="1" applyAlignment="1">
      <alignment horizontal="center" vertical="center"/>
    </xf>
    <xf numFmtId="9" fontId="9" fillId="2" borderId="26" xfId="3" applyFont="1" applyFill="1" applyBorder="1" applyAlignment="1">
      <alignment horizontal="center" vertical="center"/>
    </xf>
    <xf numFmtId="0" fontId="10" fillId="2" borderId="0" xfId="0" applyFont="1" applyFill="1" applyAlignment="1">
      <alignment horizontal="justify" vertical="top"/>
    </xf>
    <xf numFmtId="0" fontId="11" fillId="2" borderId="5" xfId="0" applyFont="1" applyFill="1" applyBorder="1"/>
    <xf numFmtId="0" fontId="11" fillId="2" borderId="1" xfId="0" applyFont="1" applyFill="1" applyBorder="1"/>
    <xf numFmtId="0" fontId="11" fillId="2" borderId="0" xfId="0" applyFont="1" applyFill="1"/>
    <xf numFmtId="164" fontId="2" fillId="2" borderId="0" xfId="0" applyNumberFormat="1" applyFont="1" applyFill="1"/>
    <xf numFmtId="0" fontId="40" fillId="2" borderId="0" xfId="1" applyFont="1" applyFill="1" applyBorder="1" applyAlignment="1" applyProtection="1">
      <alignment vertical="center"/>
    </xf>
    <xf numFmtId="0" fontId="0" fillId="2" borderId="0" xfId="0" applyFill="1" applyAlignment="1">
      <alignment wrapText="1"/>
    </xf>
    <xf numFmtId="10" fontId="0" fillId="2" borderId="0" xfId="3" applyNumberFormat="1" applyFont="1" applyFill="1"/>
    <xf numFmtId="0" fontId="43" fillId="2" borderId="0" xfId="0" applyFont="1" applyFill="1"/>
    <xf numFmtId="0" fontId="44" fillId="2" borderId="0" xfId="0" applyFont="1" applyFill="1" applyAlignment="1">
      <alignment wrapText="1"/>
    </xf>
    <xf numFmtId="0" fontId="44" fillId="2" borderId="0" xfId="0" applyFont="1" applyFill="1"/>
    <xf numFmtId="165" fontId="9" fillId="2" borderId="27" xfId="0" applyNumberFormat="1" applyFont="1" applyFill="1" applyBorder="1" applyAlignment="1">
      <alignment horizontal="center" vertical="center"/>
    </xf>
    <xf numFmtId="165" fontId="9" fillId="2" borderId="28" xfId="0" applyNumberFormat="1" applyFont="1" applyFill="1" applyBorder="1" applyAlignment="1">
      <alignment horizontal="center" vertical="center"/>
    </xf>
    <xf numFmtId="165" fontId="9" fillId="2" borderId="29" xfId="0" applyNumberFormat="1" applyFont="1" applyFill="1" applyBorder="1" applyAlignment="1">
      <alignment horizontal="center" vertical="center"/>
    </xf>
    <xf numFmtId="164" fontId="9" fillId="2" borderId="28" xfId="2" applyNumberFormat="1" applyFont="1" applyFill="1" applyBorder="1" applyAlignment="1">
      <alignment horizontal="center" vertical="center"/>
    </xf>
    <xf numFmtId="164" fontId="9" fillId="2" borderId="30" xfId="2" applyNumberFormat="1" applyFont="1" applyFill="1" applyBorder="1" applyAlignment="1">
      <alignment horizontal="center" vertical="center"/>
    </xf>
    <xf numFmtId="164" fontId="9" fillId="2" borderId="31" xfId="2" applyNumberFormat="1" applyFont="1" applyFill="1" applyBorder="1" applyAlignment="1">
      <alignment horizontal="center" vertical="center"/>
    </xf>
    <xf numFmtId="164" fontId="23" fillId="6" borderId="0" xfId="2" applyNumberFormat="1" applyFont="1" applyFill="1"/>
    <xf numFmtId="0" fontId="29" fillId="0" borderId="0" xfId="0" applyFont="1" applyAlignment="1">
      <alignment horizontal="left"/>
    </xf>
    <xf numFmtId="0" fontId="31" fillId="0" borderId="0" xfId="0" quotePrefix="1" applyFont="1"/>
    <xf numFmtId="14" fontId="45" fillId="3" borderId="0" xfId="0" applyNumberFormat="1" applyFont="1" applyFill="1"/>
    <xf numFmtId="164" fontId="32" fillId="3" borderId="0" xfId="0" applyNumberFormat="1" applyFont="1" applyFill="1"/>
    <xf numFmtId="0" fontId="23" fillId="6" borderId="0" xfId="0" applyFont="1" applyFill="1" applyAlignment="1">
      <alignment horizontal="center"/>
    </xf>
    <xf numFmtId="0" fontId="47" fillId="0" borderId="0" xfId="0" applyFont="1"/>
    <xf numFmtId="164" fontId="23" fillId="0" borderId="0" xfId="0" applyNumberFormat="1" applyFont="1"/>
    <xf numFmtId="0" fontId="46" fillId="3" borderId="0" xfId="0" applyFont="1" applyFill="1"/>
    <xf numFmtId="0" fontId="17" fillId="3" borderId="0" xfId="0" applyFont="1" applyFill="1" applyAlignment="1">
      <alignment horizontal="left" vertical="top"/>
    </xf>
    <xf numFmtId="0" fontId="9" fillId="3" borderId="0" xfId="0" applyFont="1" applyFill="1" applyAlignment="1">
      <alignment horizontal="center" vertical="top"/>
    </xf>
    <xf numFmtId="0" fontId="22" fillId="3" borderId="0" xfId="0" applyFont="1" applyFill="1" applyAlignment="1">
      <alignment horizontal="right"/>
    </xf>
    <xf numFmtId="0" fontId="22" fillId="3" borderId="0" xfId="0" applyFont="1" applyFill="1" applyAlignment="1">
      <alignment horizontal="left"/>
    </xf>
    <xf numFmtId="0" fontId="9" fillId="2" borderId="32" xfId="0" applyFont="1" applyFill="1" applyBorder="1" applyAlignment="1">
      <alignment horizontal="left" vertical="center" wrapText="1"/>
    </xf>
    <xf numFmtId="0" fontId="9" fillId="2" borderId="33" xfId="0" applyFont="1" applyFill="1" applyBorder="1" applyAlignment="1">
      <alignment horizontal="center" vertical="center"/>
    </xf>
    <xf numFmtId="0" fontId="50" fillId="2" borderId="0" xfId="0" applyFont="1" applyFill="1"/>
    <xf numFmtId="14" fontId="52" fillId="2" borderId="0" xfId="0" applyNumberFormat="1" applyFont="1" applyFill="1" applyAlignment="1">
      <alignment horizontal="right" vertical="center"/>
    </xf>
    <xf numFmtId="0" fontId="9" fillId="3" borderId="0" xfId="0" applyFont="1" applyFill="1" applyAlignment="1">
      <alignment vertical="center"/>
    </xf>
    <xf numFmtId="0" fontId="54" fillId="7" borderId="0" xfId="0" applyFont="1" applyFill="1"/>
    <xf numFmtId="0" fontId="55" fillId="2" borderId="0" xfId="1" applyFont="1" applyFill="1" applyBorder="1" applyAlignment="1" applyProtection="1">
      <alignment vertical="center"/>
    </xf>
    <xf numFmtId="0" fontId="24" fillId="8" borderId="0" xfId="0" applyFont="1" applyFill="1" applyAlignment="1">
      <alignment horizontal="center"/>
    </xf>
    <xf numFmtId="0" fontId="0" fillId="8" borderId="0" xfId="0" applyFill="1"/>
    <xf numFmtId="0" fontId="24" fillId="8" borderId="0" xfId="0" applyFont="1" applyFill="1"/>
    <xf numFmtId="0" fontId="0" fillId="8" borderId="0" xfId="0" applyFill="1" applyAlignment="1">
      <alignment horizontal="right"/>
    </xf>
    <xf numFmtId="0" fontId="0" fillId="8" borderId="0" xfId="0" applyFill="1" applyAlignment="1">
      <alignment horizontal="left"/>
    </xf>
    <xf numFmtId="0" fontId="0" fillId="8" borderId="0" xfId="0" applyFill="1" applyAlignment="1">
      <alignment textRotation="90"/>
    </xf>
    <xf numFmtId="0" fontId="67" fillId="3" borderId="0" xfId="0" applyFont="1" applyFill="1"/>
    <xf numFmtId="0" fontId="68" fillId="3" borderId="0" xfId="0" applyFont="1" applyFill="1"/>
    <xf numFmtId="0" fontId="69" fillId="3" borderId="0" xfId="0" applyFont="1" applyFill="1"/>
    <xf numFmtId="14" fontId="68" fillId="3" borderId="0" xfId="0" applyNumberFormat="1" applyFont="1" applyFill="1"/>
    <xf numFmtId="0" fontId="70" fillId="3" borderId="0" xfId="0" applyFont="1" applyFill="1" applyAlignment="1">
      <alignment horizontal="center" vertical="center" wrapText="1"/>
    </xf>
    <xf numFmtId="0" fontId="70" fillId="3" borderId="0" xfId="0" applyFont="1" applyFill="1" applyAlignment="1">
      <alignment horizontal="center" vertical="center"/>
    </xf>
    <xf numFmtId="0" fontId="71" fillId="2" borderId="0" xfId="0" applyFont="1" applyFill="1" applyAlignment="1">
      <alignment horizontal="right" vertical="center"/>
    </xf>
    <xf numFmtId="0" fontId="72" fillId="2" borderId="0" xfId="0" applyFont="1" applyFill="1" applyAlignment="1">
      <alignment horizontal="right" vertical="center"/>
    </xf>
    <xf numFmtId="0" fontId="71" fillId="2" borderId="4" xfId="0" applyFont="1" applyFill="1" applyBorder="1" applyAlignment="1">
      <alignment vertical="center"/>
    </xf>
    <xf numFmtId="0" fontId="71" fillId="2" borderId="0" xfId="0" applyFont="1" applyFill="1" applyAlignment="1">
      <alignment vertical="center"/>
    </xf>
    <xf numFmtId="0" fontId="71" fillId="2" borderId="5" xfId="0" applyFont="1" applyFill="1" applyBorder="1" applyAlignment="1">
      <alignment vertical="top"/>
    </xf>
    <xf numFmtId="0" fontId="71" fillId="2" borderId="1" xfId="0" applyFont="1" applyFill="1" applyBorder="1"/>
    <xf numFmtId="0" fontId="71" fillId="2" borderId="0" xfId="0" applyFont="1" applyFill="1"/>
    <xf numFmtId="0" fontId="23" fillId="9" borderId="0" xfId="0" applyFont="1" applyFill="1"/>
    <xf numFmtId="0" fontId="73" fillId="3" borderId="16" xfId="0" applyFont="1" applyFill="1" applyBorder="1" applyAlignment="1">
      <alignment horizontal="center"/>
    </xf>
    <xf numFmtId="0" fontId="31" fillId="9" borderId="0" xfId="0" applyFont="1" applyFill="1"/>
    <xf numFmtId="0" fontId="28" fillId="10" borderId="18" xfId="0" applyFont="1" applyFill="1" applyBorder="1" applyAlignment="1">
      <alignment horizontal="center"/>
    </xf>
    <xf numFmtId="0" fontId="28" fillId="10" borderId="0" xfId="0" applyFont="1" applyFill="1" applyAlignment="1">
      <alignment horizontal="center"/>
    </xf>
    <xf numFmtId="0" fontId="28" fillId="10" borderId="16" xfId="0" applyFont="1" applyFill="1" applyBorder="1" applyAlignment="1">
      <alignment horizontal="center"/>
    </xf>
    <xf numFmtId="9" fontId="31" fillId="0" borderId="0" xfId="3" applyFont="1" applyFill="1"/>
    <xf numFmtId="0" fontId="70" fillId="3" borderId="0" xfId="0" applyFont="1" applyFill="1" applyAlignment="1">
      <alignment horizontal="left" vertical="center"/>
    </xf>
    <xf numFmtId="0" fontId="74" fillId="3" borderId="0" xfId="0" applyFont="1" applyFill="1"/>
    <xf numFmtId="0" fontId="75" fillId="3" borderId="0" xfId="0" applyFont="1" applyFill="1" applyAlignment="1">
      <alignment horizontal="center" vertical="center" wrapText="1"/>
    </xf>
    <xf numFmtId="0" fontId="75" fillId="3" borderId="0" xfId="0" applyFont="1" applyFill="1" applyAlignment="1">
      <alignment horizontal="center" vertical="center"/>
    </xf>
    <xf numFmtId="0" fontId="58" fillId="8" borderId="0" xfId="0" applyFont="1" applyFill="1"/>
    <xf numFmtId="0" fontId="9" fillId="3" borderId="0" xfId="0" applyFont="1" applyFill="1"/>
    <xf numFmtId="0" fontId="0" fillId="11" borderId="0" xfId="0" applyFill="1"/>
    <xf numFmtId="0" fontId="24" fillId="11" borderId="0" xfId="0" applyFont="1" applyFill="1"/>
    <xf numFmtId="0" fontId="0" fillId="11" borderId="0" xfId="0" applyFill="1" applyAlignment="1">
      <alignment wrapText="1"/>
    </xf>
    <xf numFmtId="0" fontId="41" fillId="11" borderId="0" xfId="0" applyFont="1" applyFill="1"/>
    <xf numFmtId="0" fontId="0" fillId="2" borderId="0" xfId="0" applyFill="1" applyAlignment="1">
      <alignment horizontal="left" vertical="center" wrapText="1"/>
    </xf>
    <xf numFmtId="0" fontId="0" fillId="2" borderId="0" xfId="0" applyFill="1" applyAlignment="1">
      <alignment vertical="center" wrapText="1"/>
    </xf>
    <xf numFmtId="0" fontId="24" fillId="11" borderId="0" xfId="0" applyFont="1" applyFill="1" applyAlignment="1">
      <alignment horizontal="right" wrapText="1"/>
    </xf>
    <xf numFmtId="0" fontId="23" fillId="12" borderId="0" xfId="0" applyFont="1" applyFill="1" applyAlignment="1">
      <alignment horizontal="center"/>
    </xf>
    <xf numFmtId="0" fontId="76" fillId="0" borderId="0" xfId="0" applyFont="1"/>
    <xf numFmtId="0" fontId="18" fillId="2" borderId="0" xfId="0" applyFont="1" applyFill="1" applyAlignment="1">
      <alignment horizontal="center"/>
    </xf>
    <xf numFmtId="9" fontId="68" fillId="3" borderId="0" xfId="0" applyNumberFormat="1" applyFont="1" applyFill="1"/>
    <xf numFmtId="0" fontId="28" fillId="13" borderId="17" xfId="0" applyFont="1" applyFill="1" applyBorder="1" applyAlignment="1">
      <alignment horizontal="center"/>
    </xf>
    <xf numFmtId="0" fontId="23" fillId="0" borderId="0" xfId="0" quotePrefix="1" applyFont="1"/>
    <xf numFmtId="164" fontId="28" fillId="14" borderId="17" xfId="0" applyNumberFormat="1" applyFont="1" applyFill="1" applyBorder="1" applyAlignment="1">
      <alignment horizontal="center"/>
    </xf>
    <xf numFmtId="0" fontId="28" fillId="14" borderId="17" xfId="0" applyFont="1" applyFill="1" applyBorder="1" applyAlignment="1">
      <alignment horizontal="center"/>
    </xf>
    <xf numFmtId="0" fontId="59" fillId="3" borderId="0" xfId="0" applyFont="1" applyFill="1"/>
    <xf numFmtId="0" fontId="78" fillId="3" borderId="0" xfId="0" applyFont="1" applyFill="1"/>
    <xf numFmtId="0" fontId="71" fillId="8" borderId="0" xfId="0" applyFont="1" applyFill="1" applyAlignment="1">
      <alignment horizontal="left" vertical="top"/>
    </xf>
    <xf numFmtId="0" fontId="79" fillId="8" borderId="0" xfId="0" applyFont="1" applyFill="1" applyAlignment="1">
      <alignment horizontal="left" vertical="top"/>
    </xf>
    <xf numFmtId="0" fontId="18" fillId="8" borderId="2" xfId="0" applyFont="1" applyFill="1" applyBorder="1" applyAlignment="1">
      <alignment horizontal="left"/>
    </xf>
    <xf numFmtId="0" fontId="9" fillId="8" borderId="9" xfId="0" applyFont="1" applyFill="1" applyBorder="1" applyAlignment="1">
      <alignment horizontal="center" vertical="center"/>
    </xf>
    <xf numFmtId="0" fontId="9" fillId="8" borderId="10" xfId="0" applyFont="1" applyFill="1" applyBorder="1" applyAlignment="1">
      <alignment horizontal="center" vertical="center"/>
    </xf>
    <xf numFmtId="164" fontId="9" fillId="8" borderId="37" xfId="2" applyNumberFormat="1" applyFont="1" applyFill="1" applyBorder="1" applyAlignment="1">
      <alignment horizontal="center" vertical="center" wrapText="1"/>
    </xf>
    <xf numFmtId="9" fontId="9" fillId="8" borderId="36" xfId="3" applyFont="1" applyFill="1" applyBorder="1" applyAlignment="1">
      <alignment horizontal="center" vertical="center"/>
    </xf>
    <xf numFmtId="9" fontId="9" fillId="8" borderId="37" xfId="3" applyFont="1" applyFill="1" applyBorder="1" applyAlignment="1">
      <alignment horizontal="center" vertical="center"/>
    </xf>
    <xf numFmtId="164" fontId="9" fillId="8" borderId="35" xfId="2" applyNumberFormat="1" applyFont="1" applyFill="1" applyBorder="1" applyAlignment="1">
      <alignment horizontal="center" vertical="center"/>
    </xf>
    <xf numFmtId="164" fontId="9" fillId="8" borderId="36" xfId="2" applyNumberFormat="1" applyFont="1" applyFill="1" applyBorder="1" applyAlignment="1">
      <alignment horizontal="center" vertical="center"/>
    </xf>
    <xf numFmtId="0" fontId="77" fillId="3" borderId="17" xfId="0" applyFont="1" applyFill="1" applyBorder="1" applyAlignment="1">
      <alignment horizontal="center"/>
    </xf>
    <xf numFmtId="0" fontId="23" fillId="15" borderId="0" xfId="0" applyFont="1" applyFill="1"/>
    <xf numFmtId="0" fontId="27" fillId="15" borderId="0" xfId="0" applyFont="1" applyFill="1"/>
    <xf numFmtId="0" fontId="62" fillId="15" borderId="0" xfId="0" applyFont="1" applyFill="1"/>
    <xf numFmtId="0" fontId="80" fillId="15" borderId="0" xfId="0" applyFont="1" applyFill="1"/>
    <xf numFmtId="0" fontId="23" fillId="15" borderId="0" xfId="0" applyFont="1" applyFill="1" applyAlignment="1">
      <alignment horizontal="right"/>
    </xf>
    <xf numFmtId="0" fontId="23" fillId="15" borderId="0" xfId="0" applyFont="1" applyFill="1" applyAlignment="1">
      <alignment horizontal="center"/>
    </xf>
    <xf numFmtId="0" fontId="27" fillId="8" borderId="0" xfId="0" applyFont="1" applyFill="1" applyAlignment="1">
      <alignment horizontal="center"/>
    </xf>
    <xf numFmtId="0" fontId="76" fillId="15" borderId="0" xfId="0" applyFont="1" applyFill="1" applyAlignment="1">
      <alignment horizontal="center"/>
    </xf>
    <xf numFmtId="0" fontId="76" fillId="15" borderId="16" xfId="0" applyFont="1" applyFill="1" applyBorder="1" applyAlignment="1">
      <alignment horizontal="center"/>
    </xf>
    <xf numFmtId="0" fontId="76" fillId="15" borderId="17" xfId="0" applyFont="1" applyFill="1" applyBorder="1" applyAlignment="1">
      <alignment horizontal="center"/>
    </xf>
    <xf numFmtId="0" fontId="63" fillId="2" borderId="0" xfId="1" applyFont="1" applyFill="1" applyAlignment="1" applyProtection="1"/>
    <xf numFmtId="0" fontId="23" fillId="10" borderId="0" xfId="0" applyFont="1" applyFill="1"/>
    <xf numFmtId="0" fontId="81" fillId="0" borderId="0" xfId="0" applyFont="1"/>
    <xf numFmtId="0" fontId="23" fillId="10" borderId="38" xfId="0" applyFont="1" applyFill="1" applyBorder="1"/>
    <xf numFmtId="9" fontId="9" fillId="8" borderId="35" xfId="3" applyFont="1" applyFill="1" applyBorder="1" applyAlignment="1">
      <alignment horizontal="center" vertical="center" wrapText="1"/>
    </xf>
    <xf numFmtId="9" fontId="9" fillId="8" borderId="36" xfId="3" applyFont="1" applyFill="1" applyBorder="1" applyAlignment="1">
      <alignment horizontal="center" vertical="center" wrapText="1"/>
    </xf>
    <xf numFmtId="9" fontId="9" fillId="2" borderId="26" xfId="3" applyFont="1" applyFill="1" applyBorder="1" applyAlignment="1">
      <alignment horizontal="center" vertical="center" wrapText="1"/>
    </xf>
    <xf numFmtId="0" fontId="23" fillId="10" borderId="34" xfId="0" applyFont="1" applyFill="1" applyBorder="1" applyAlignment="1">
      <alignment horizontal="center"/>
    </xf>
    <xf numFmtId="0" fontId="82" fillId="8" borderId="10" xfId="0" applyFont="1" applyFill="1" applyBorder="1" applyAlignment="1">
      <alignment horizontal="center" vertical="center"/>
    </xf>
    <xf numFmtId="164" fontId="82" fillId="8" borderId="36" xfId="2" applyNumberFormat="1" applyFont="1" applyFill="1" applyBorder="1" applyAlignment="1">
      <alignment horizontal="center" vertical="center"/>
    </xf>
    <xf numFmtId="164" fontId="23" fillId="6" borderId="34" xfId="2" applyNumberFormat="1" applyFont="1" applyFill="1" applyBorder="1"/>
    <xf numFmtId="0" fontId="77" fillId="10" borderId="15" xfId="0" applyFont="1" applyFill="1" applyBorder="1"/>
    <xf numFmtId="0" fontId="77" fillId="10" borderId="16" xfId="0" applyFont="1" applyFill="1" applyBorder="1"/>
    <xf numFmtId="0" fontId="77" fillId="10" borderId="17" xfId="0" applyFont="1" applyFill="1" applyBorder="1" applyAlignment="1">
      <alignment horizontal="center"/>
    </xf>
    <xf numFmtId="164" fontId="23" fillId="16" borderId="0" xfId="0" applyNumberFormat="1" applyFont="1" applyFill="1"/>
    <xf numFmtId="164" fontId="23" fillId="16" borderId="0" xfId="2" applyNumberFormat="1" applyFont="1" applyFill="1"/>
    <xf numFmtId="0" fontId="23" fillId="10" borderId="0" xfId="0" applyFont="1" applyFill="1" applyAlignment="1">
      <alignment horizontal="center"/>
    </xf>
    <xf numFmtId="9" fontId="23" fillId="0" borderId="0" xfId="3" applyFont="1" applyFill="1"/>
    <xf numFmtId="9" fontId="23" fillId="10" borderId="0" xfId="3" applyFont="1" applyFill="1"/>
    <xf numFmtId="0" fontId="23" fillId="10" borderId="0" xfId="0" quotePrefix="1" applyFont="1" applyFill="1" applyAlignment="1">
      <alignment horizontal="left"/>
    </xf>
    <xf numFmtId="0" fontId="68" fillId="3" borderId="0" xfId="2" applyNumberFormat="1" applyFont="1" applyFill="1"/>
    <xf numFmtId="0" fontId="23" fillId="8" borderId="0" xfId="0" applyFont="1" applyFill="1" applyAlignment="1">
      <alignment horizontal="center"/>
    </xf>
    <xf numFmtId="164" fontId="77" fillId="16" borderId="0" xfId="0" applyNumberFormat="1" applyFont="1" applyFill="1"/>
    <xf numFmtId="0" fontId="56" fillId="10" borderId="0" xfId="0" applyFont="1" applyFill="1"/>
    <xf numFmtId="0" fontId="23" fillId="10" borderId="0" xfId="0" quotePrefix="1" applyFont="1" applyFill="1"/>
    <xf numFmtId="164" fontId="23" fillId="6" borderId="0" xfId="2" applyNumberFormat="1" applyFont="1" applyFill="1" applyAlignment="1">
      <alignment horizontal="center"/>
    </xf>
    <xf numFmtId="164" fontId="23" fillId="6" borderId="0" xfId="2" applyNumberFormat="1" applyFont="1" applyFill="1" applyAlignment="1">
      <alignment horizontal="right"/>
    </xf>
    <xf numFmtId="0" fontId="23" fillId="16" borderId="0" xfId="0" applyFont="1" applyFill="1"/>
    <xf numFmtId="164" fontId="23" fillId="16" borderId="0" xfId="0" applyNumberFormat="1" applyFont="1" applyFill="1" applyAlignment="1">
      <alignment horizontal="center"/>
    </xf>
    <xf numFmtId="14" fontId="23" fillId="16" borderId="0" xfId="0" applyNumberFormat="1" applyFont="1" applyFill="1"/>
    <xf numFmtId="14" fontId="23" fillId="20" borderId="41" xfId="0" applyNumberFormat="1" applyFont="1" applyFill="1" applyBorder="1"/>
    <xf numFmtId="44" fontId="90" fillId="3" borderId="0" xfId="2" applyFont="1" applyFill="1"/>
    <xf numFmtId="0" fontId="23" fillId="20" borderId="0" xfId="0" applyFont="1" applyFill="1"/>
    <xf numFmtId="168" fontId="77" fillId="20" borderId="41" xfId="0" applyNumberFormat="1" applyFont="1" applyFill="1" applyBorder="1" applyAlignment="1">
      <alignment horizontal="center"/>
    </xf>
    <xf numFmtId="0" fontId="56" fillId="0" borderId="0" xfId="0" applyFont="1"/>
    <xf numFmtId="0" fontId="31" fillId="0" borderId="0" xfId="0" applyFont="1" applyAlignment="1">
      <alignment horizontal="right"/>
    </xf>
    <xf numFmtId="0" fontId="77" fillId="6" borderId="0" xfId="0" applyFont="1" applyFill="1" applyAlignment="1">
      <alignment horizontal="center"/>
    </xf>
    <xf numFmtId="0" fontId="77" fillId="0" borderId="0" xfId="0" applyFont="1"/>
    <xf numFmtId="0" fontId="83" fillId="21" borderId="0" xfId="0" applyFont="1" applyFill="1"/>
    <xf numFmtId="0" fontId="23" fillId="10" borderId="0" xfId="0" quotePrefix="1" applyFont="1" applyFill="1" applyAlignment="1">
      <alignment horizontal="center"/>
    </xf>
    <xf numFmtId="0" fontId="23" fillId="10" borderId="0" xfId="0" applyFont="1" applyFill="1" applyAlignment="1">
      <alignment horizontal="left"/>
    </xf>
    <xf numFmtId="0" fontId="29" fillId="0" borderId="0" xfId="0" applyFont="1" applyAlignment="1">
      <alignment horizontal="center"/>
    </xf>
    <xf numFmtId="0" fontId="81" fillId="17" borderId="0" xfId="0" applyFont="1" applyFill="1" applyAlignment="1">
      <alignment horizontal="center"/>
    </xf>
    <xf numFmtId="0" fontId="81" fillId="17" borderId="0" xfId="0" applyFont="1" applyFill="1"/>
    <xf numFmtId="0" fontId="23" fillId="17" borderId="0" xfId="0" applyFont="1" applyFill="1"/>
    <xf numFmtId="0" fontId="56" fillId="17" borderId="0" xfId="0" applyFont="1" applyFill="1" applyAlignment="1">
      <alignment horizontal="center"/>
    </xf>
    <xf numFmtId="0" fontId="23" fillId="10" borderId="98" xfId="0" applyFont="1" applyFill="1" applyBorder="1"/>
    <xf numFmtId="9" fontId="77" fillId="20" borderId="34" xfId="3" applyFont="1" applyFill="1" applyBorder="1" applyAlignment="1">
      <alignment horizontal="center"/>
    </xf>
    <xf numFmtId="0" fontId="77" fillId="10" borderId="0" xfId="0" applyFont="1" applyFill="1" applyAlignment="1">
      <alignment horizontal="center"/>
    </xf>
    <xf numFmtId="0" fontId="77" fillId="10" borderId="0" xfId="0" applyFont="1" applyFill="1" applyAlignment="1">
      <alignment horizontal="left"/>
    </xf>
    <xf numFmtId="0" fontId="23" fillId="10" borderId="98" xfId="0" applyFont="1" applyFill="1" applyBorder="1" applyAlignment="1">
      <alignment horizontal="center"/>
    </xf>
    <xf numFmtId="0" fontId="73" fillId="0" borderId="0" xfId="0" applyFont="1"/>
    <xf numFmtId="14" fontId="23" fillId="20" borderId="0" xfId="0" applyNumberFormat="1" applyFont="1" applyFill="1"/>
    <xf numFmtId="164" fontId="77" fillId="20" borderId="0" xfId="2" applyNumberFormat="1" applyFont="1" applyFill="1" applyAlignment="1"/>
    <xf numFmtId="164" fontId="77" fillId="16" borderId="0" xfId="2" applyNumberFormat="1" applyFont="1" applyFill="1"/>
    <xf numFmtId="164" fontId="28" fillId="16" borderId="0" xfId="2" applyNumberFormat="1" applyFont="1" applyFill="1" applyAlignment="1">
      <alignment horizontal="center"/>
    </xf>
    <xf numFmtId="0" fontId="56" fillId="10" borderId="0" xfId="0" applyFont="1" applyFill="1" applyAlignment="1">
      <alignment horizontal="center"/>
    </xf>
    <xf numFmtId="0" fontId="92" fillId="10" borderId="0" xfId="0" applyFont="1" applyFill="1"/>
    <xf numFmtId="0" fontId="76" fillId="12" borderId="0" xfId="0" applyFont="1" applyFill="1" applyAlignment="1">
      <alignment horizontal="center"/>
    </xf>
    <xf numFmtId="0" fontId="56" fillId="6" borderId="0" xfId="0" applyFont="1" applyFill="1" applyAlignment="1">
      <alignment horizontal="center"/>
    </xf>
    <xf numFmtId="0" fontId="77" fillId="0" borderId="105" xfId="0" applyFont="1" applyBorder="1"/>
    <xf numFmtId="0" fontId="23" fillId="0" borderId="106" xfId="0" applyFont="1" applyBorder="1"/>
    <xf numFmtId="164" fontId="28" fillId="16" borderId="106" xfId="2" applyNumberFormat="1" applyFont="1" applyFill="1" applyBorder="1" applyAlignment="1">
      <alignment horizontal="center"/>
    </xf>
    <xf numFmtId="0" fontId="23" fillId="0" borderId="107" xfId="0" applyFont="1" applyBorder="1"/>
    <xf numFmtId="0" fontId="23" fillId="0" borderId="108" xfId="0" applyFont="1" applyBorder="1"/>
    <xf numFmtId="0" fontId="23" fillId="0" borderId="109" xfId="0" applyFont="1" applyBorder="1"/>
    <xf numFmtId="0" fontId="56" fillId="22" borderId="0" xfId="0" applyFont="1" applyFill="1"/>
    <xf numFmtId="0" fontId="23" fillId="22" borderId="0" xfId="0" applyFont="1" applyFill="1"/>
    <xf numFmtId="164" fontId="23" fillId="20" borderId="0" xfId="2" applyNumberFormat="1" applyFont="1" applyFill="1"/>
    <xf numFmtId="164" fontId="77" fillId="6" borderId="104" xfId="2" applyNumberFormat="1" applyFont="1" applyFill="1" applyBorder="1"/>
    <xf numFmtId="164" fontId="23" fillId="20" borderId="104" xfId="2" applyNumberFormat="1" applyFont="1" applyFill="1" applyBorder="1"/>
    <xf numFmtId="164" fontId="23" fillId="6" borderId="104" xfId="2" applyNumberFormat="1" applyFont="1" applyFill="1" applyBorder="1"/>
    <xf numFmtId="0" fontId="23" fillId="16" borderId="111" xfId="0" applyFont="1" applyFill="1" applyBorder="1"/>
    <xf numFmtId="0" fontId="23" fillId="16" borderId="112" xfId="0" applyFont="1" applyFill="1" applyBorder="1"/>
    <xf numFmtId="0" fontId="23" fillId="16" borderId="113" xfId="0" applyFont="1" applyFill="1" applyBorder="1"/>
    <xf numFmtId="164" fontId="77" fillId="20" borderId="104" xfId="2" applyNumberFormat="1" applyFont="1" applyFill="1" applyBorder="1" applyAlignment="1"/>
    <xf numFmtId="0" fontId="77" fillId="6" borderId="0" xfId="0" applyFont="1" applyFill="1" applyAlignment="1">
      <alignment horizontal="right"/>
    </xf>
    <xf numFmtId="164" fontId="77" fillId="20" borderId="0" xfId="2" applyNumberFormat="1" applyFont="1" applyFill="1"/>
    <xf numFmtId="164" fontId="77" fillId="20" borderId="0" xfId="2" applyNumberFormat="1" applyFont="1" applyFill="1" applyAlignment="1">
      <alignment horizontal="center"/>
    </xf>
    <xf numFmtId="164" fontId="84" fillId="16" borderId="0" xfId="0" applyNumberFormat="1" applyFont="1" applyFill="1"/>
    <xf numFmtId="164" fontId="77" fillId="16" borderId="0" xfId="2" applyNumberFormat="1" applyFont="1" applyFill="1" applyAlignment="1">
      <alignment horizontal="center"/>
    </xf>
    <xf numFmtId="164" fontId="77" fillId="16" borderId="39" xfId="2" applyNumberFormat="1" applyFont="1" applyFill="1" applyBorder="1" applyAlignment="1">
      <alignment horizontal="center"/>
    </xf>
    <xf numFmtId="0" fontId="23" fillId="0" borderId="98" xfId="0" applyFont="1" applyBorder="1"/>
    <xf numFmtId="0" fontId="73" fillId="10" borderId="98" xfId="0" applyFont="1" applyFill="1" applyBorder="1" applyAlignment="1">
      <alignment horizontal="center"/>
    </xf>
    <xf numFmtId="164" fontId="28" fillId="16" borderId="98" xfId="2" applyNumberFormat="1" applyFont="1" applyFill="1" applyBorder="1" applyAlignment="1">
      <alignment horizontal="center"/>
    </xf>
    <xf numFmtId="14" fontId="23" fillId="10" borderId="0" xfId="0" applyNumberFormat="1" applyFont="1" applyFill="1" applyAlignment="1">
      <alignment horizontal="center"/>
    </xf>
    <xf numFmtId="14" fontId="23" fillId="20" borderId="98" xfId="0" applyNumberFormat="1" applyFont="1" applyFill="1" applyBorder="1" applyAlignment="1">
      <alignment horizontal="center"/>
    </xf>
    <xf numFmtId="14" fontId="23" fillId="16" borderId="98" xfId="0" applyNumberFormat="1" applyFont="1" applyFill="1" applyBorder="1" applyAlignment="1">
      <alignment horizontal="center"/>
    </xf>
    <xf numFmtId="164" fontId="28" fillId="10" borderId="98" xfId="2" applyNumberFormat="1" applyFont="1" applyFill="1" applyBorder="1" applyAlignment="1">
      <alignment horizontal="center"/>
    </xf>
    <xf numFmtId="14" fontId="23" fillId="10" borderId="98" xfId="0" applyNumberFormat="1" applyFont="1" applyFill="1" applyBorder="1" applyAlignment="1">
      <alignment horizontal="center"/>
    </xf>
    <xf numFmtId="169" fontId="28" fillId="20" borderId="98" xfId="4" applyNumberFormat="1" applyFont="1" applyFill="1" applyBorder="1" applyAlignment="1">
      <alignment horizontal="center"/>
    </xf>
    <xf numFmtId="169" fontId="28" fillId="10" borderId="98" xfId="4" applyNumberFormat="1" applyFont="1" applyFill="1" applyBorder="1" applyAlignment="1">
      <alignment horizontal="center"/>
    </xf>
    <xf numFmtId="164" fontId="93" fillId="16" borderId="98" xfId="2" applyNumberFormat="1" applyFont="1" applyFill="1" applyBorder="1" applyAlignment="1">
      <alignment horizontal="center"/>
    </xf>
    <xf numFmtId="164" fontId="93" fillId="10" borderId="98" xfId="2" applyNumberFormat="1" applyFont="1" applyFill="1" applyBorder="1" applyAlignment="1">
      <alignment horizontal="center"/>
    </xf>
    <xf numFmtId="0" fontId="94" fillId="0" borderId="0" xfId="0" applyFont="1"/>
    <xf numFmtId="0" fontId="95" fillId="0" borderId="0" xfId="0" applyFont="1"/>
    <xf numFmtId="0" fontId="94" fillId="0" borderId="0" xfId="0" quotePrefix="1" applyFont="1"/>
    <xf numFmtId="169" fontId="28" fillId="16" borderId="98" xfId="4" applyNumberFormat="1" applyFont="1" applyFill="1" applyBorder="1" applyAlignment="1">
      <alignment horizontal="center"/>
    </xf>
    <xf numFmtId="0" fontId="77" fillId="10" borderId="98" xfId="0" applyFont="1" applyFill="1" applyBorder="1"/>
    <xf numFmtId="164" fontId="77" fillId="20" borderId="98" xfId="2" applyNumberFormat="1" applyFont="1" applyFill="1" applyBorder="1"/>
    <xf numFmtId="0" fontId="23" fillId="10" borderId="0" xfId="0" applyFont="1" applyFill="1" applyAlignment="1">
      <alignment wrapText="1"/>
    </xf>
    <xf numFmtId="16" fontId="23" fillId="10" borderId="0" xfId="0" applyNumberFormat="1" applyFont="1" applyFill="1" applyAlignment="1">
      <alignment horizontal="center"/>
    </xf>
    <xf numFmtId="0" fontId="23" fillId="10" borderId="0" xfId="0" applyFont="1" applyFill="1" applyAlignment="1">
      <alignment horizontal="center" wrapText="1"/>
    </xf>
    <xf numFmtId="0" fontId="77" fillId="10" borderId="0" xfId="0" applyFont="1" applyFill="1" applyAlignment="1">
      <alignment horizontal="center" wrapText="1"/>
    </xf>
    <xf numFmtId="164" fontId="23" fillId="10" borderId="0" xfId="2" applyNumberFormat="1" applyFont="1" applyFill="1"/>
    <xf numFmtId="167" fontId="23" fillId="17" borderId="0" xfId="0" applyNumberFormat="1" applyFont="1" applyFill="1"/>
    <xf numFmtId="164" fontId="23" fillId="17" borderId="0" xfId="2" applyNumberFormat="1" applyFont="1" applyFill="1"/>
    <xf numFmtId="164" fontId="23" fillId="17" borderId="0" xfId="0" applyNumberFormat="1" applyFont="1" applyFill="1"/>
    <xf numFmtId="164" fontId="56" fillId="17" borderId="0" xfId="0" applyNumberFormat="1" applyFont="1" applyFill="1"/>
    <xf numFmtId="0" fontId="23" fillId="17" borderId="0" xfId="0" applyFont="1" applyFill="1" applyAlignment="1">
      <alignment horizontal="right"/>
    </xf>
    <xf numFmtId="0" fontId="23" fillId="17" borderId="0" xfId="0" quotePrefix="1" applyFont="1" applyFill="1"/>
    <xf numFmtId="164" fontId="77" fillId="9" borderId="0" xfId="2" applyNumberFormat="1" applyFont="1" applyFill="1" applyAlignment="1">
      <alignment horizontal="center"/>
    </xf>
    <xf numFmtId="164" fontId="77" fillId="9" borderId="40" xfId="2" applyNumberFormat="1" applyFont="1" applyFill="1" applyBorder="1" applyAlignment="1">
      <alignment horizontal="center"/>
    </xf>
    <xf numFmtId="164" fontId="23" fillId="10" borderId="0" xfId="0" applyNumberFormat="1" applyFont="1" applyFill="1"/>
    <xf numFmtId="0" fontId="97" fillId="0" borderId="16" xfId="5" applyFont="1" applyBorder="1" applyAlignment="1">
      <alignment horizontal="center"/>
    </xf>
    <xf numFmtId="0" fontId="99" fillId="0" borderId="16" xfId="5" applyBorder="1"/>
    <xf numFmtId="0" fontId="98" fillId="0" borderId="16" xfId="5" applyFont="1" applyBorder="1" applyAlignment="1">
      <alignment horizontal="center"/>
    </xf>
    <xf numFmtId="0" fontId="96" fillId="0" borderId="16" xfId="5" applyFont="1" applyBorder="1" applyAlignment="1">
      <alignment horizontal="justify"/>
    </xf>
    <xf numFmtId="0" fontId="23" fillId="10" borderId="0" xfId="0" applyFont="1" applyFill="1" applyAlignment="1">
      <alignment horizontal="right"/>
    </xf>
    <xf numFmtId="0" fontId="23" fillId="7" borderId="118" xfId="0" applyFont="1" applyFill="1" applyBorder="1"/>
    <xf numFmtId="0" fontId="23" fillId="0" borderId="119" xfId="0" applyFont="1" applyBorder="1"/>
    <xf numFmtId="0" fontId="23" fillId="0" borderId="120" xfId="0" applyFont="1" applyBorder="1"/>
    <xf numFmtId="0" fontId="23" fillId="20" borderId="121" xfId="0" applyFont="1" applyFill="1" applyBorder="1"/>
    <xf numFmtId="0" fontId="23" fillId="0" borderId="122" xfId="0" applyFont="1" applyBorder="1"/>
    <xf numFmtId="0" fontId="23" fillId="0" borderId="123" xfId="0" applyFont="1" applyBorder="1"/>
    <xf numFmtId="0" fontId="23" fillId="6" borderId="40" xfId="0" applyFont="1" applyFill="1" applyBorder="1" applyAlignment="1">
      <alignment horizontal="center"/>
    </xf>
    <xf numFmtId="0" fontId="23" fillId="0" borderId="39" xfId="0" applyFont="1" applyBorder="1"/>
    <xf numFmtId="0" fontId="23" fillId="0" borderId="124" xfId="0" applyFont="1" applyBorder="1"/>
    <xf numFmtId="0" fontId="23" fillId="0" borderId="127" xfId="0" applyFont="1" applyBorder="1"/>
    <xf numFmtId="0" fontId="23" fillId="0" borderId="128" xfId="0" applyFont="1" applyBorder="1"/>
    <xf numFmtId="0" fontId="56" fillId="10" borderId="0" xfId="0" applyFont="1" applyFill="1" applyAlignment="1">
      <alignment horizontal="left"/>
    </xf>
    <xf numFmtId="166" fontId="77" fillId="0" borderId="125" xfId="0" applyNumberFormat="1" applyFont="1" applyBorder="1"/>
    <xf numFmtId="166" fontId="77" fillId="0" borderId="126" xfId="0" applyNumberFormat="1" applyFont="1" applyBorder="1"/>
    <xf numFmtId="0" fontId="23" fillId="11" borderId="0" xfId="0" applyFont="1" applyFill="1"/>
    <xf numFmtId="0" fontId="23" fillId="11" borderId="0" xfId="0" quotePrefix="1" applyFont="1" applyFill="1"/>
    <xf numFmtId="164" fontId="77" fillId="9" borderId="0" xfId="2" applyNumberFormat="1" applyFont="1" applyFill="1" applyBorder="1" applyAlignment="1">
      <alignment horizontal="center"/>
    </xf>
    <xf numFmtId="164" fontId="77" fillId="16" borderId="0" xfId="2" applyNumberFormat="1" applyFont="1" applyFill="1" applyBorder="1" applyAlignment="1">
      <alignment horizontal="center"/>
    </xf>
    <xf numFmtId="164" fontId="77" fillId="11" borderId="0" xfId="2" applyNumberFormat="1" applyFont="1" applyFill="1" applyAlignment="1">
      <alignment horizontal="center"/>
    </xf>
    <xf numFmtId="166" fontId="73" fillId="11" borderId="22" xfId="0" applyNumberFormat="1" applyFont="1" applyFill="1" applyBorder="1" applyAlignment="1">
      <alignment horizontal="center"/>
    </xf>
    <xf numFmtId="166" fontId="27" fillId="13" borderId="21" xfId="0" applyNumberFormat="1" applyFont="1" applyFill="1" applyBorder="1"/>
    <xf numFmtId="166" fontId="27" fillId="13" borderId="22" xfId="0" applyNumberFormat="1" applyFont="1" applyFill="1" applyBorder="1"/>
    <xf numFmtId="0" fontId="57" fillId="17" borderId="0" xfId="0" applyFont="1" applyFill="1" applyAlignment="1">
      <alignment horizontal="left"/>
    </xf>
    <xf numFmtId="0" fontId="9" fillId="8" borderId="42" xfId="0" applyFont="1" applyFill="1" applyBorder="1" applyAlignment="1">
      <alignment horizontal="left" vertical="center" wrapText="1"/>
    </xf>
    <xf numFmtId="0" fontId="9" fillId="8" borderId="43" xfId="0" applyFont="1" applyFill="1" applyBorder="1" applyAlignment="1">
      <alignment horizontal="left" vertical="center" wrapText="1"/>
    </xf>
    <xf numFmtId="0" fontId="9" fillId="8" borderId="44" xfId="0" applyFont="1" applyFill="1" applyBorder="1" applyAlignment="1">
      <alignment horizontal="left" vertical="center" wrapText="1"/>
    </xf>
    <xf numFmtId="164" fontId="9" fillId="8" borderId="36" xfId="2" applyNumberFormat="1" applyFont="1" applyFill="1" applyBorder="1" applyAlignment="1">
      <alignment horizontal="center" vertical="center"/>
    </xf>
    <xf numFmtId="164" fontId="9" fillId="8" borderId="45" xfId="2" applyNumberFormat="1" applyFont="1" applyFill="1" applyBorder="1" applyAlignment="1">
      <alignment horizontal="center" vertical="center"/>
    </xf>
    <xf numFmtId="165" fontId="9" fillId="8" borderId="42" xfId="0" applyNumberFormat="1" applyFont="1" applyFill="1" applyBorder="1" applyAlignment="1">
      <alignment horizontal="center" vertical="center"/>
    </xf>
    <xf numFmtId="165" fontId="9" fillId="8" borderId="44" xfId="0" applyNumberFormat="1" applyFont="1" applyFill="1" applyBorder="1" applyAlignment="1">
      <alignment horizontal="center" vertical="center"/>
    </xf>
    <xf numFmtId="0" fontId="82" fillId="8" borderId="42" xfId="0" applyFont="1" applyFill="1" applyBorder="1" applyAlignment="1">
      <alignment horizontal="left" vertical="center" wrapText="1"/>
    </xf>
    <xf numFmtId="0" fontId="82" fillId="8" borderId="43" xfId="0" applyFont="1" applyFill="1" applyBorder="1" applyAlignment="1">
      <alignment horizontal="left" vertical="center" wrapText="1"/>
    </xf>
    <xf numFmtId="0" fontId="82" fillId="8" borderId="44" xfId="0" applyFont="1" applyFill="1" applyBorder="1" applyAlignment="1">
      <alignment horizontal="left" vertical="center" wrapText="1"/>
    </xf>
    <xf numFmtId="165" fontId="82" fillId="8" borderId="42" xfId="0" applyNumberFormat="1" applyFont="1" applyFill="1" applyBorder="1" applyAlignment="1">
      <alignment horizontal="center" vertical="center"/>
    </xf>
    <xf numFmtId="165" fontId="82" fillId="8" borderId="44" xfId="0" applyNumberFormat="1" applyFont="1" applyFill="1" applyBorder="1" applyAlignment="1">
      <alignment horizontal="center" vertical="center"/>
    </xf>
    <xf numFmtId="0" fontId="20" fillId="2" borderId="52" xfId="0" applyFont="1" applyFill="1" applyBorder="1" applyAlignment="1">
      <alignment horizontal="center"/>
    </xf>
    <xf numFmtId="164" fontId="82" fillId="8" borderId="36" xfId="2" applyNumberFormat="1" applyFont="1" applyFill="1" applyBorder="1" applyAlignment="1">
      <alignment horizontal="center" vertical="center"/>
    </xf>
    <xf numFmtId="164" fontId="82" fillId="8" borderId="45" xfId="2" applyNumberFormat="1" applyFont="1" applyFill="1" applyBorder="1" applyAlignment="1">
      <alignment horizontal="center" vertical="center"/>
    </xf>
    <xf numFmtId="0" fontId="11" fillId="2" borderId="23" xfId="0" applyFont="1" applyFill="1" applyBorder="1"/>
    <xf numFmtId="0" fontId="11" fillId="2" borderId="2" xfId="0" applyFont="1" applyFill="1" applyBorder="1"/>
    <xf numFmtId="0" fontId="11" fillId="2" borderId="4" xfId="0" applyFont="1" applyFill="1" applyBorder="1"/>
    <xf numFmtId="0" fontId="11" fillId="2" borderId="0" xfId="0" applyFont="1" applyFill="1"/>
    <xf numFmtId="164" fontId="19" fillId="2" borderId="53" xfId="2" applyNumberFormat="1" applyFont="1" applyFill="1" applyBorder="1"/>
    <xf numFmtId="164" fontId="19" fillId="2" borderId="54" xfId="2" applyNumberFormat="1" applyFont="1" applyFill="1" applyBorder="1"/>
    <xf numFmtId="0" fontId="18" fillId="2" borderId="55" xfId="0" applyFont="1" applyFill="1" applyBorder="1" applyAlignment="1">
      <alignment horizontal="center"/>
    </xf>
    <xf numFmtId="0" fontId="48" fillId="2" borderId="0" xfId="0" applyFont="1" applyFill="1" applyAlignment="1">
      <alignment horizontal="justify" vertical="top" wrapText="1"/>
    </xf>
    <xf numFmtId="0" fontId="20" fillId="2" borderId="0" xfId="0" applyFont="1" applyFill="1" applyAlignment="1">
      <alignment horizontal="justify" vertical="top"/>
    </xf>
    <xf numFmtId="0" fontId="82" fillId="2" borderId="46" xfId="0" applyFont="1" applyFill="1" applyBorder="1" applyAlignment="1">
      <alignment horizontal="center" vertical="center"/>
    </xf>
    <xf numFmtId="0" fontId="82" fillId="2" borderId="47" xfId="0" applyFont="1" applyFill="1" applyBorder="1" applyAlignment="1">
      <alignment horizontal="center" vertical="center"/>
    </xf>
    <xf numFmtId="0" fontId="82" fillId="2" borderId="48" xfId="0" applyFont="1" applyFill="1" applyBorder="1" applyAlignment="1">
      <alignment horizontal="center" vertical="center"/>
    </xf>
    <xf numFmtId="0" fontId="20" fillId="8" borderId="0" xfId="0" applyFont="1" applyFill="1" applyAlignment="1">
      <alignment horizontal="left" vertical="top"/>
    </xf>
    <xf numFmtId="0" fontId="11" fillId="8" borderId="0" xfId="0" applyFont="1" applyFill="1" applyAlignment="1">
      <alignment horizontal="right" vertical="top"/>
    </xf>
    <xf numFmtId="14" fontId="2" fillId="2" borderId="56" xfId="0" applyNumberFormat="1" applyFont="1" applyFill="1" applyBorder="1"/>
    <xf numFmtId="0" fontId="2" fillId="2" borderId="56" xfId="0" applyFont="1" applyFill="1" applyBorder="1"/>
    <xf numFmtId="164" fontId="49" fillId="2" borderId="49" xfId="2" quotePrefix="1" applyNumberFormat="1" applyFont="1" applyFill="1" applyBorder="1" applyAlignment="1">
      <alignment horizontal="center"/>
    </xf>
    <xf numFmtId="164" fontId="49" fillId="2" borderId="0" xfId="2" quotePrefix="1" applyNumberFormat="1" applyFont="1" applyFill="1" applyBorder="1" applyAlignment="1">
      <alignment horizontal="center"/>
    </xf>
    <xf numFmtId="0" fontId="14" fillId="8" borderId="4" xfId="0" applyFont="1" applyFill="1" applyBorder="1" applyAlignment="1">
      <alignment horizontal="center" vertical="center" wrapText="1"/>
    </xf>
    <xf numFmtId="0" fontId="14" fillId="8" borderId="0" xfId="0" applyFont="1" applyFill="1" applyAlignment="1">
      <alignment horizontal="center" vertical="center" wrapText="1"/>
    </xf>
    <xf numFmtId="0" fontId="14" fillId="8" borderId="11" xfId="0" applyFont="1" applyFill="1" applyBorder="1" applyAlignment="1">
      <alignment horizontal="center" vertical="center" wrapText="1"/>
    </xf>
    <xf numFmtId="164" fontId="49" fillId="2" borderId="57" xfId="2" quotePrefix="1" applyNumberFormat="1" applyFont="1" applyFill="1" applyBorder="1" applyAlignment="1">
      <alignment horizontal="right" vertical="center"/>
    </xf>
    <xf numFmtId="164" fontId="49" fillId="2" borderId="58" xfId="2" applyNumberFormat="1" applyFont="1" applyFill="1" applyBorder="1" applyAlignment="1">
      <alignment horizontal="right" vertical="center"/>
    </xf>
    <xf numFmtId="164" fontId="49" fillId="2" borderId="59" xfId="2" applyNumberFormat="1" applyFont="1" applyFill="1" applyBorder="1" applyAlignment="1">
      <alignment horizontal="right" vertical="center"/>
    </xf>
    <xf numFmtId="164" fontId="36" fillId="2" borderId="53" xfId="0" applyNumberFormat="1" applyFont="1" applyFill="1" applyBorder="1"/>
    <xf numFmtId="164" fontId="36" fillId="2" borderId="54" xfId="0" applyNumberFormat="1" applyFont="1" applyFill="1" applyBorder="1"/>
    <xf numFmtId="164" fontId="19" fillId="2" borderId="60" xfId="0" applyNumberFormat="1" applyFont="1" applyFill="1" applyBorder="1"/>
    <xf numFmtId="164" fontId="19" fillId="2" borderId="61" xfId="0" applyNumberFormat="1" applyFont="1" applyFill="1" applyBorder="1"/>
    <xf numFmtId="0" fontId="48" fillId="2" borderId="0" xfId="0" applyFont="1" applyFill="1" applyAlignment="1">
      <alignment vertical="top" wrapText="1"/>
    </xf>
    <xf numFmtId="0" fontId="48" fillId="2" borderId="11" xfId="0" applyFont="1" applyFill="1" applyBorder="1" applyAlignment="1">
      <alignment vertical="top" wrapText="1"/>
    </xf>
    <xf numFmtId="0" fontId="86" fillId="2" borderId="0" xfId="0" applyFont="1" applyFill="1" applyAlignment="1">
      <alignment horizontal="justify" vertical="top" wrapText="1"/>
    </xf>
    <xf numFmtId="0" fontId="35" fillId="2" borderId="4" xfId="0" applyFont="1" applyFill="1" applyBorder="1"/>
    <xf numFmtId="0" fontId="35" fillId="2" borderId="0" xfId="0" applyFont="1" applyFill="1"/>
    <xf numFmtId="0" fontId="20" fillId="2" borderId="0" xfId="0" applyFont="1" applyFill="1" applyAlignment="1">
      <alignment horizontal="left" wrapText="1"/>
    </xf>
    <xf numFmtId="0" fontId="9" fillId="2" borderId="49" xfId="0" applyFont="1" applyFill="1" applyBorder="1" applyAlignment="1">
      <alignment horizontal="center" vertical="center" wrapText="1"/>
    </xf>
    <xf numFmtId="0" fontId="9" fillId="2" borderId="0" xfId="0" applyFont="1" applyFill="1" applyAlignment="1">
      <alignment horizontal="center" vertical="center" wrapText="1"/>
    </xf>
    <xf numFmtId="0" fontId="9" fillId="2" borderId="50" xfId="0" applyFont="1" applyFill="1" applyBorder="1" applyAlignment="1">
      <alignment horizontal="center" vertical="center" wrapText="1"/>
    </xf>
    <xf numFmtId="0" fontId="9" fillId="2" borderId="95" xfId="0" applyFont="1" applyFill="1" applyBorder="1" applyAlignment="1">
      <alignment horizontal="center" vertical="center" wrapText="1"/>
    </xf>
    <xf numFmtId="0" fontId="9" fillId="2" borderId="96" xfId="0" applyFont="1" applyFill="1" applyBorder="1" applyAlignment="1">
      <alignment horizontal="center" vertical="center" wrapText="1"/>
    </xf>
    <xf numFmtId="0" fontId="9" fillId="2" borderId="97" xfId="0" applyFont="1" applyFill="1" applyBorder="1" applyAlignment="1">
      <alignment horizontal="center" vertical="center" wrapText="1"/>
    </xf>
    <xf numFmtId="164" fontId="85" fillId="3" borderId="0" xfId="0" applyNumberFormat="1" applyFont="1" applyFill="1" applyAlignment="1">
      <alignment horizontal="center"/>
    </xf>
    <xf numFmtId="164" fontId="9" fillId="8" borderId="37" xfId="2" applyNumberFormat="1" applyFont="1" applyFill="1" applyBorder="1" applyAlignment="1">
      <alignment horizontal="center" vertical="center" wrapText="1"/>
    </xf>
    <xf numFmtId="164" fontId="9" fillId="8" borderId="51" xfId="2" applyNumberFormat="1" applyFont="1" applyFill="1" applyBorder="1" applyAlignment="1">
      <alignment horizontal="center" vertical="center" wrapText="1"/>
    </xf>
    <xf numFmtId="0" fontId="87" fillId="3" borderId="0" xfId="0" applyFont="1" applyFill="1" applyAlignment="1">
      <alignment horizontal="center" vertical="center"/>
    </xf>
    <xf numFmtId="165" fontId="9" fillId="8" borderId="62" xfId="0" applyNumberFormat="1" applyFont="1" applyFill="1" applyBorder="1" applyAlignment="1">
      <alignment horizontal="center" vertical="center"/>
    </xf>
    <xf numFmtId="165" fontId="9" fillId="8" borderId="63" xfId="0" applyNumberFormat="1" applyFont="1" applyFill="1" applyBorder="1" applyAlignment="1">
      <alignment horizontal="center" vertical="center"/>
    </xf>
    <xf numFmtId="0" fontId="2" fillId="2" borderId="0" xfId="0" applyFont="1" applyFill="1" applyAlignment="1">
      <alignment horizontal="center"/>
    </xf>
    <xf numFmtId="0" fontId="13" fillId="2" borderId="24" xfId="0" applyFont="1" applyFill="1" applyBorder="1" applyAlignment="1">
      <alignment vertical="center"/>
    </xf>
    <xf numFmtId="0" fontId="0" fillId="0" borderId="25" xfId="0" applyBorder="1"/>
    <xf numFmtId="0" fontId="0" fillId="0" borderId="64" xfId="0" applyBorder="1"/>
    <xf numFmtId="0" fontId="14" fillId="2" borderId="65" xfId="0" applyFont="1" applyFill="1" applyBorder="1" applyAlignment="1">
      <alignment horizontal="center" vertical="center" wrapText="1"/>
    </xf>
    <xf numFmtId="0" fontId="14" fillId="2" borderId="25" xfId="0" applyFont="1" applyFill="1" applyBorder="1" applyAlignment="1">
      <alignment horizontal="center" vertical="center" wrapText="1"/>
    </xf>
    <xf numFmtId="0" fontId="14" fillId="2" borderId="66" xfId="0" applyFont="1" applyFill="1" applyBorder="1" applyAlignment="1">
      <alignment horizontal="center" vertical="center" wrapText="1"/>
    </xf>
    <xf numFmtId="0" fontId="51" fillId="2" borderId="4" xfId="0" applyFont="1" applyFill="1" applyBorder="1"/>
    <xf numFmtId="0" fontId="51" fillId="2" borderId="0" xfId="0" applyFont="1" applyFill="1"/>
    <xf numFmtId="164" fontId="9" fillId="8" borderId="35" xfId="2" applyNumberFormat="1" applyFont="1" applyFill="1" applyBorder="1" applyAlignment="1">
      <alignment horizontal="center" vertical="center"/>
    </xf>
    <xf numFmtId="164" fontId="9" fillId="8" borderId="72" xfId="2" applyNumberFormat="1" applyFont="1" applyFill="1" applyBorder="1" applyAlignment="1">
      <alignment horizontal="center" vertical="center"/>
    </xf>
    <xf numFmtId="165" fontId="9" fillId="8" borderId="36" xfId="0" applyNumberFormat="1" applyFont="1" applyFill="1" applyBorder="1" applyAlignment="1">
      <alignment horizontal="center" vertical="center"/>
    </xf>
    <xf numFmtId="164" fontId="53" fillId="3" borderId="0" xfId="2" applyNumberFormat="1" applyFont="1" applyFill="1" applyAlignment="1"/>
    <xf numFmtId="0" fontId="70" fillId="3" borderId="0" xfId="0" applyFont="1" applyFill="1" applyAlignment="1">
      <alignment horizontal="center" wrapText="1"/>
    </xf>
    <xf numFmtId="0" fontId="88" fillId="2" borderId="0" xfId="0" applyFont="1" applyFill="1" applyAlignment="1">
      <alignment horizontal="center" vertical="center" wrapText="1"/>
    </xf>
    <xf numFmtId="0" fontId="88" fillId="2" borderId="1" xfId="0" applyFont="1" applyFill="1" applyBorder="1" applyAlignment="1">
      <alignment horizontal="center" vertical="center" wrapText="1"/>
    </xf>
    <xf numFmtId="0" fontId="71" fillId="2" borderId="4" xfId="0" applyFont="1" applyFill="1" applyBorder="1"/>
    <xf numFmtId="0" fontId="71" fillId="2" borderId="0" xfId="0" applyFont="1" applyFill="1"/>
    <xf numFmtId="164" fontId="15" fillId="8" borderId="67" xfId="2" applyNumberFormat="1" applyFont="1" applyFill="1" applyBorder="1" applyAlignment="1">
      <alignment horizontal="justify" vertical="center" wrapText="1"/>
    </xf>
    <xf numFmtId="164" fontId="16" fillId="8" borderId="60" xfId="2" applyNumberFormat="1" applyFont="1" applyFill="1" applyBorder="1" applyAlignment="1">
      <alignment horizontal="justify" vertical="center" wrapText="1"/>
    </xf>
    <xf numFmtId="0" fontId="0" fillId="8" borderId="68" xfId="0" applyFill="1" applyBorder="1"/>
    <xf numFmtId="0" fontId="0" fillId="8" borderId="69" xfId="0" applyFill="1" applyBorder="1"/>
    <xf numFmtId="0" fontId="61" fillId="18" borderId="0" xfId="0" applyFont="1" applyFill="1" applyAlignment="1">
      <alignment horizontal="center" vertical="center" wrapText="1"/>
    </xf>
    <xf numFmtId="0" fontId="14" fillId="2" borderId="8" xfId="0" applyFont="1" applyFill="1" applyBorder="1" applyAlignment="1">
      <alignment horizontal="center" vertical="center" wrapText="1"/>
    </xf>
    <xf numFmtId="0" fontId="9" fillId="8" borderId="62" xfId="0" applyFont="1" applyFill="1" applyBorder="1" applyAlignment="1">
      <alignment horizontal="left" vertical="center" wrapText="1"/>
    </xf>
    <xf numFmtId="0" fontId="9" fillId="8" borderId="70" xfId="0" applyFont="1" applyFill="1" applyBorder="1" applyAlignment="1">
      <alignment horizontal="left" vertical="center" wrapText="1"/>
    </xf>
    <xf numFmtId="0" fontId="9" fillId="8" borderId="63" xfId="0" applyFont="1" applyFill="1" applyBorder="1" applyAlignment="1">
      <alignment horizontal="left" vertical="center" wrapText="1"/>
    </xf>
    <xf numFmtId="0" fontId="61" fillId="19" borderId="0" xfId="0" applyFont="1" applyFill="1" applyAlignment="1">
      <alignment horizontal="center" vertical="center"/>
    </xf>
    <xf numFmtId="0" fontId="14" fillId="2" borderId="71" xfId="0" applyFont="1" applyFill="1" applyBorder="1" applyAlignment="1">
      <alignment horizontal="center" vertical="center" wrapText="1"/>
    </xf>
    <xf numFmtId="0" fontId="0" fillId="5" borderId="0" xfId="0" applyFill="1"/>
    <xf numFmtId="0" fontId="0" fillId="8" borderId="0" xfId="0" applyFill="1"/>
    <xf numFmtId="0" fontId="0" fillId="8" borderId="0" xfId="0" applyFill="1" applyAlignment="1">
      <alignment horizontal="right"/>
    </xf>
    <xf numFmtId="0" fontId="0" fillId="8" borderId="0" xfId="0" applyFill="1" applyAlignment="1">
      <alignment textRotation="90"/>
    </xf>
    <xf numFmtId="0" fontId="25" fillId="2" borderId="0" xfId="0" applyFont="1" applyFill="1" applyAlignment="1">
      <alignment horizontal="center"/>
    </xf>
    <xf numFmtId="0" fontId="23" fillId="2" borderId="0" xfId="0" applyFont="1" applyFill="1"/>
    <xf numFmtId="0" fontId="26" fillId="2" borderId="0" xfId="0" applyFont="1" applyFill="1"/>
    <xf numFmtId="0" fontId="0" fillId="2" borderId="0" xfId="0" applyFill="1" applyAlignment="1">
      <alignment vertical="top" textRotation="90"/>
    </xf>
    <xf numFmtId="0" fontId="0" fillId="2" borderId="0" xfId="0" applyFill="1" applyAlignment="1">
      <alignment horizontal="center"/>
    </xf>
    <xf numFmtId="0" fontId="0" fillId="8" borderId="0" xfId="0" applyFill="1" applyAlignment="1">
      <alignment horizontal="left"/>
    </xf>
    <xf numFmtId="0" fontId="24" fillId="2" borderId="0" xfId="0" applyFont="1" applyFill="1" applyAlignment="1">
      <alignment horizontal="left"/>
    </xf>
    <xf numFmtId="0" fontId="20" fillId="2" borderId="0" xfId="0" applyFont="1" applyFill="1" applyAlignment="1">
      <alignment horizontal="center"/>
    </xf>
    <xf numFmtId="0" fontId="18" fillId="2" borderId="0" xfId="0" applyFont="1" applyFill="1" applyAlignment="1">
      <alignment horizontal="center"/>
    </xf>
    <xf numFmtId="0" fontId="0" fillId="2" borderId="0" xfId="0" applyFill="1" applyAlignment="1">
      <alignment wrapText="1"/>
    </xf>
    <xf numFmtId="0" fontId="42" fillId="2" borderId="0" xfId="0" applyFont="1" applyFill="1" applyAlignment="1">
      <alignment wrapText="1"/>
    </xf>
    <xf numFmtId="0" fontId="44" fillId="2" borderId="0" xfId="0" applyFont="1" applyFill="1" applyAlignment="1">
      <alignment wrapText="1"/>
    </xf>
    <xf numFmtId="0" fontId="33" fillId="2" borderId="0" xfId="0" applyFont="1" applyFill="1" applyAlignment="1">
      <alignment horizontal="left" vertical="center" wrapText="1"/>
    </xf>
    <xf numFmtId="0" fontId="0" fillId="8" borderId="0" xfId="0" applyFill="1" applyAlignment="1">
      <alignment horizontal="center"/>
    </xf>
    <xf numFmtId="0" fontId="0" fillId="8" borderId="0" xfId="0" applyFill="1" applyAlignment="1">
      <alignment vertical="top" textRotation="90"/>
    </xf>
    <xf numFmtId="0" fontId="18" fillId="8" borderId="0" xfId="0" applyFont="1" applyFill="1" applyAlignment="1">
      <alignment horizontal="center"/>
    </xf>
    <xf numFmtId="0" fontId="20" fillId="8" borderId="0" xfId="0" applyFont="1" applyFill="1" applyAlignment="1">
      <alignment horizontal="center"/>
    </xf>
    <xf numFmtId="0" fontId="18" fillId="2" borderId="0" xfId="0" applyFont="1" applyFill="1" applyAlignment="1">
      <alignment horizontal="left" vertical="center"/>
    </xf>
    <xf numFmtId="14" fontId="11" fillId="2" borderId="0" xfId="0" applyNumberFormat="1" applyFont="1" applyFill="1" applyAlignment="1">
      <alignment horizontal="center" vertical="center"/>
    </xf>
    <xf numFmtId="0" fontId="11" fillId="2" borderId="0" xfId="0" applyFont="1" applyFill="1" applyAlignment="1">
      <alignment horizontal="center" vertical="center"/>
    </xf>
    <xf numFmtId="0" fontId="11" fillId="2" borderId="55" xfId="0" applyFont="1" applyFill="1" applyBorder="1" applyAlignment="1">
      <alignment horizontal="center" vertical="center"/>
    </xf>
    <xf numFmtId="0" fontId="18" fillId="2" borderId="0" xfId="0" applyFont="1" applyFill="1" applyAlignment="1">
      <alignment horizontal="left" vertical="top"/>
    </xf>
    <xf numFmtId="0" fontId="2" fillId="2" borderId="0" xfId="0" applyFont="1" applyFill="1" applyAlignment="1">
      <alignment horizontal="center" vertical="center"/>
    </xf>
    <xf numFmtId="0" fontId="2" fillId="2" borderId="55" xfId="0" applyFont="1" applyFill="1" applyBorder="1" applyAlignment="1">
      <alignment horizontal="center" vertical="center"/>
    </xf>
    <xf numFmtId="0" fontId="10" fillId="2" borderId="0" xfId="0" applyFont="1" applyFill="1" applyAlignment="1">
      <alignment horizontal="center"/>
    </xf>
    <xf numFmtId="0" fontId="2" fillId="2" borderId="0" xfId="0" applyFont="1" applyFill="1"/>
    <xf numFmtId="0" fontId="2" fillId="2" borderId="55" xfId="0" applyFont="1" applyFill="1" applyBorder="1"/>
    <xf numFmtId="0" fontId="11" fillId="2" borderId="4" xfId="0" applyFont="1" applyFill="1" applyBorder="1" applyAlignment="1">
      <alignment horizontal="right" vertical="center"/>
    </xf>
    <xf numFmtId="0" fontId="11" fillId="2" borderId="0" xfId="0" applyFont="1" applyFill="1" applyAlignment="1">
      <alignment horizontal="right" vertical="center"/>
    </xf>
    <xf numFmtId="0" fontId="11" fillId="2" borderId="11" xfId="0" applyFont="1" applyFill="1" applyBorder="1" applyAlignment="1">
      <alignment horizontal="right" vertical="center"/>
    </xf>
    <xf numFmtId="0" fontId="11" fillId="2" borderId="5" xfId="0" applyFont="1" applyFill="1" applyBorder="1" applyAlignment="1">
      <alignment horizontal="right" vertical="center"/>
    </xf>
    <xf numFmtId="0" fontId="11" fillId="2" borderId="1" xfId="0" applyFont="1" applyFill="1" applyBorder="1" applyAlignment="1">
      <alignment horizontal="right" vertical="center"/>
    </xf>
    <xf numFmtId="0" fontId="11" fillId="2" borderId="6" xfId="0" applyFont="1" applyFill="1" applyBorder="1" applyAlignment="1">
      <alignment horizontal="right" vertical="center"/>
    </xf>
    <xf numFmtId="0" fontId="10" fillId="2" borderId="0" xfId="0" applyFont="1" applyFill="1" applyAlignment="1">
      <alignment horizontal="justify" vertical="top"/>
    </xf>
    <xf numFmtId="164" fontId="20" fillId="2" borderId="73" xfId="0" applyNumberFormat="1" applyFont="1" applyFill="1" applyBorder="1"/>
    <xf numFmtId="164" fontId="20" fillId="2" borderId="74" xfId="0" applyNumberFormat="1" applyFont="1" applyFill="1" applyBorder="1"/>
    <xf numFmtId="0" fontId="11" fillId="2" borderId="1" xfId="0" applyFont="1" applyFill="1" applyBorder="1" applyAlignment="1">
      <alignment vertical="center"/>
    </xf>
    <xf numFmtId="0" fontId="11" fillId="2" borderId="6" xfId="0" applyFont="1" applyFill="1" applyBorder="1" applyAlignment="1">
      <alignment vertical="center"/>
    </xf>
    <xf numFmtId="164" fontId="11" fillId="2" borderId="75" xfId="0" applyNumberFormat="1" applyFont="1" applyFill="1" applyBorder="1"/>
    <xf numFmtId="164" fontId="11" fillId="2" borderId="76" xfId="0" applyNumberFormat="1" applyFont="1" applyFill="1" applyBorder="1"/>
    <xf numFmtId="0" fontId="11" fillId="2" borderId="73" xfId="0" applyFont="1" applyFill="1" applyBorder="1" applyAlignment="1">
      <alignment horizontal="right"/>
    </xf>
    <xf numFmtId="0" fontId="11" fillId="2" borderId="74" xfId="0" applyFont="1" applyFill="1" applyBorder="1" applyAlignment="1">
      <alignment horizontal="right"/>
    </xf>
    <xf numFmtId="0" fontId="11" fillId="2" borderId="11" xfId="0" applyFont="1" applyFill="1" applyBorder="1"/>
    <xf numFmtId="164" fontId="11" fillId="2" borderId="77" xfId="2" applyNumberFormat="1" applyFont="1" applyFill="1" applyBorder="1" applyAlignment="1"/>
    <xf numFmtId="164" fontId="11" fillId="2" borderId="78" xfId="2" applyNumberFormat="1" applyFont="1" applyFill="1" applyBorder="1" applyAlignment="1"/>
    <xf numFmtId="0" fontId="20" fillId="2" borderId="4" xfId="0" applyFont="1" applyFill="1" applyBorder="1"/>
    <xf numFmtId="0" fontId="20" fillId="2" borderId="0" xfId="0" applyFont="1" applyFill="1"/>
    <xf numFmtId="165" fontId="9" fillId="2" borderId="26" xfId="0" applyNumberFormat="1" applyFont="1" applyFill="1" applyBorder="1" applyAlignment="1">
      <alignment horizontal="center" vertical="center"/>
    </xf>
    <xf numFmtId="164" fontId="9" fillId="2" borderId="26" xfId="2" applyNumberFormat="1" applyFont="1" applyFill="1" applyBorder="1" applyAlignment="1">
      <alignment horizontal="center" vertical="center"/>
    </xf>
    <xf numFmtId="164" fontId="9" fillId="2" borderId="79" xfId="2" applyNumberFormat="1" applyFont="1" applyFill="1" applyBorder="1" applyAlignment="1">
      <alignment horizontal="center" vertical="center"/>
    </xf>
    <xf numFmtId="164" fontId="9" fillId="2" borderId="46" xfId="2" applyNumberFormat="1" applyFont="1" applyFill="1" applyBorder="1" applyAlignment="1">
      <alignment horizontal="center" vertical="center" wrapText="1"/>
    </xf>
    <xf numFmtId="164" fontId="9" fillId="2" borderId="47" xfId="2" applyNumberFormat="1" applyFont="1" applyFill="1" applyBorder="1" applyAlignment="1">
      <alignment horizontal="center" vertical="center" wrapText="1"/>
    </xf>
    <xf numFmtId="164" fontId="9" fillId="2" borderId="48" xfId="2" applyNumberFormat="1" applyFont="1" applyFill="1" applyBorder="1" applyAlignment="1">
      <alignment horizontal="center" vertical="center" wrapText="1"/>
    </xf>
    <xf numFmtId="164" fontId="11" fillId="2" borderId="77" xfId="0" applyNumberFormat="1" applyFont="1" applyFill="1" applyBorder="1"/>
    <xf numFmtId="164" fontId="11" fillId="2" borderId="78" xfId="0" applyNumberFormat="1" applyFont="1" applyFill="1" applyBorder="1"/>
    <xf numFmtId="164" fontId="11" fillId="2" borderId="73" xfId="2" applyNumberFormat="1" applyFont="1" applyFill="1" applyBorder="1"/>
    <xf numFmtId="164" fontId="11" fillId="2" borderId="74" xfId="2" applyNumberFormat="1" applyFont="1" applyFill="1" applyBorder="1"/>
    <xf numFmtId="0" fontId="9" fillId="2" borderId="84" xfId="0" applyFont="1" applyFill="1" applyBorder="1" applyAlignment="1">
      <alignment horizontal="center" vertical="center" wrapText="1"/>
    </xf>
    <xf numFmtId="0" fontId="9" fillId="2" borderId="43" xfId="0" applyFont="1" applyFill="1" applyBorder="1" applyAlignment="1">
      <alignment horizontal="center" vertical="center" wrapText="1"/>
    </xf>
    <xf numFmtId="0" fontId="9" fillId="2" borderId="85" xfId="0" applyFont="1" applyFill="1" applyBorder="1" applyAlignment="1">
      <alignment horizontal="center" vertical="center" wrapText="1"/>
    </xf>
    <xf numFmtId="164" fontId="16" fillId="2" borderId="61" xfId="2" applyNumberFormat="1" applyFont="1" applyFill="1" applyBorder="1" applyAlignment="1">
      <alignment horizontal="justify" vertical="center" wrapText="1"/>
    </xf>
    <xf numFmtId="0" fontId="9" fillId="2" borderId="80" xfId="0" applyFont="1" applyFill="1" applyBorder="1" applyAlignment="1">
      <alignment horizontal="left" vertical="center" wrapText="1"/>
    </xf>
    <xf numFmtId="0" fontId="9" fillId="2" borderId="32" xfId="0" applyFont="1" applyFill="1" applyBorder="1" applyAlignment="1">
      <alignment horizontal="left" vertical="center" wrapText="1"/>
    </xf>
    <xf numFmtId="0" fontId="9" fillId="2" borderId="81" xfId="0" applyFont="1" applyFill="1" applyBorder="1" applyAlignment="1">
      <alignment horizontal="left" vertical="center" wrapText="1"/>
    </xf>
    <xf numFmtId="0" fontId="2" fillId="2" borderId="82" xfId="0" applyFont="1" applyFill="1" applyBorder="1"/>
    <xf numFmtId="0" fontId="13" fillId="0" borderId="24" xfId="0" applyFont="1" applyBorder="1" applyAlignment="1">
      <alignment vertical="center"/>
    </xf>
    <xf numFmtId="0" fontId="13" fillId="0" borderId="25" xfId="0" applyFont="1" applyBorder="1" applyAlignment="1">
      <alignment vertical="center"/>
    </xf>
    <xf numFmtId="0" fontId="13" fillId="0" borderId="64" xfId="0" applyFont="1" applyBorder="1" applyAlignment="1">
      <alignment vertical="center"/>
    </xf>
    <xf numFmtId="0" fontId="10" fillId="2" borderId="0" xfId="0" applyFont="1" applyFill="1" applyAlignment="1">
      <alignment vertical="center"/>
    </xf>
    <xf numFmtId="0" fontId="10" fillId="2" borderId="11" xfId="0" applyFont="1" applyFill="1" applyBorder="1" applyAlignment="1">
      <alignment vertical="center"/>
    </xf>
    <xf numFmtId="0" fontId="2" fillId="2" borderId="83" xfId="0" applyFont="1" applyFill="1" applyBorder="1" applyAlignment="1">
      <alignment horizontal="right" vertical="center"/>
    </xf>
    <xf numFmtId="0" fontId="8" fillId="2" borderId="83" xfId="0" applyFont="1" applyFill="1" applyBorder="1"/>
    <xf numFmtId="0" fontId="9" fillId="2" borderId="0" xfId="0" applyFont="1" applyFill="1" applyAlignment="1">
      <alignment vertical="center"/>
    </xf>
    <xf numFmtId="0" fontId="9" fillId="2" borderId="11" xfId="0" applyFont="1" applyFill="1" applyBorder="1" applyAlignment="1">
      <alignment vertical="center"/>
    </xf>
    <xf numFmtId="0" fontId="37" fillId="2" borderId="25" xfId="0" quotePrefix="1" applyFont="1" applyFill="1" applyBorder="1" applyAlignment="1">
      <alignment horizontal="center" vertical="center"/>
    </xf>
    <xf numFmtId="0" fontId="37" fillId="2" borderId="64" xfId="0" quotePrefix="1" applyFont="1" applyFill="1" applyBorder="1" applyAlignment="1">
      <alignment horizontal="center" vertical="center"/>
    </xf>
    <xf numFmtId="0" fontId="6" fillId="2" borderId="0" xfId="0" applyFont="1" applyFill="1"/>
    <xf numFmtId="0" fontId="6" fillId="2" borderId="11" xfId="0" applyFont="1" applyFill="1" applyBorder="1"/>
    <xf numFmtId="0" fontId="7" fillId="2" borderId="86" xfId="0" applyFont="1" applyFill="1" applyBorder="1" applyAlignment="1">
      <alignment horizontal="right" vertical="center"/>
    </xf>
    <xf numFmtId="0" fontId="7" fillId="2" borderId="83" xfId="0" applyFont="1" applyFill="1" applyBorder="1" applyAlignment="1">
      <alignment horizontal="right" vertical="center"/>
    </xf>
    <xf numFmtId="0" fontId="8" fillId="2" borderId="86" xfId="0" applyFont="1" applyFill="1" applyBorder="1" applyAlignment="1">
      <alignment horizontal="right"/>
    </xf>
    <xf numFmtId="0" fontId="8" fillId="2" borderId="83" xfId="0" applyFont="1" applyFill="1" applyBorder="1" applyAlignment="1">
      <alignment horizontal="right"/>
    </xf>
    <xf numFmtId="0" fontId="23" fillId="9" borderId="0" xfId="0" applyFont="1" applyFill="1" applyAlignment="1">
      <alignment horizontal="left"/>
    </xf>
    <xf numFmtId="164" fontId="23" fillId="9" borderId="0" xfId="0" applyNumberFormat="1" applyFont="1" applyFill="1" applyAlignment="1">
      <alignment horizontal="left"/>
    </xf>
    <xf numFmtId="0" fontId="23" fillId="9" borderId="0" xfId="0" applyFont="1" applyFill="1" applyAlignment="1">
      <alignment horizontal="left" wrapText="1"/>
    </xf>
    <xf numFmtId="0" fontId="77" fillId="10" borderId="116" xfId="0" applyFont="1" applyFill="1" applyBorder="1"/>
    <xf numFmtId="0" fontId="77" fillId="10" borderId="117" xfId="0" applyFont="1" applyFill="1" applyBorder="1"/>
    <xf numFmtId="0" fontId="77" fillId="10" borderId="116" xfId="0" quotePrefix="1" applyFont="1" applyFill="1" applyBorder="1"/>
    <xf numFmtId="0" fontId="77" fillId="10" borderId="117" xfId="0" quotePrefix="1" applyFont="1" applyFill="1" applyBorder="1"/>
    <xf numFmtId="0" fontId="23" fillId="10" borderId="114" xfId="0" applyFont="1" applyFill="1" applyBorder="1" applyAlignment="1">
      <alignment horizontal="left" vertical="center"/>
    </xf>
    <xf numFmtId="0" fontId="23" fillId="10" borderId="115" xfId="0" applyFont="1" applyFill="1" applyBorder="1" applyAlignment="1">
      <alignment horizontal="left" vertical="center"/>
    </xf>
    <xf numFmtId="0" fontId="23" fillId="10" borderId="98" xfId="0" applyFont="1" applyFill="1" applyBorder="1" applyAlignment="1">
      <alignment horizontal="left"/>
    </xf>
    <xf numFmtId="0" fontId="23" fillId="10" borderId="0" xfId="0" applyFont="1" applyFill="1" applyAlignment="1">
      <alignment horizontal="right"/>
    </xf>
    <xf numFmtId="0" fontId="23" fillId="10" borderId="99" xfId="0" applyFont="1" applyFill="1" applyBorder="1" applyAlignment="1">
      <alignment horizontal="center"/>
    </xf>
    <xf numFmtId="0" fontId="23" fillId="10" borderId="89" xfId="0" applyFont="1" applyFill="1" applyBorder="1" applyAlignment="1">
      <alignment horizontal="center"/>
    </xf>
    <xf numFmtId="0" fontId="23" fillId="10" borderId="91" xfId="0" applyFont="1" applyFill="1" applyBorder="1" applyAlignment="1">
      <alignment horizontal="center"/>
    </xf>
    <xf numFmtId="0" fontId="23" fillId="10" borderId="100" xfId="0" applyFont="1" applyFill="1" applyBorder="1" applyAlignment="1">
      <alignment horizontal="center"/>
    </xf>
    <xf numFmtId="0" fontId="23" fillId="10" borderId="101" xfId="0" applyFont="1" applyFill="1" applyBorder="1" applyAlignment="1">
      <alignment horizontal="center"/>
    </xf>
    <xf numFmtId="0" fontId="23" fillId="10" borderId="102" xfId="0" applyFont="1" applyFill="1" applyBorder="1" applyAlignment="1">
      <alignment horizontal="center"/>
    </xf>
    <xf numFmtId="0" fontId="23" fillId="10" borderId="38" xfId="0" applyFont="1" applyFill="1" applyBorder="1" applyAlignment="1">
      <alignment horizontal="center"/>
    </xf>
    <xf numFmtId="0" fontId="23" fillId="10" borderId="103" xfId="0" applyFont="1" applyFill="1" applyBorder="1" applyAlignment="1">
      <alignment horizontal="center"/>
    </xf>
    <xf numFmtId="164" fontId="28" fillId="16" borderId="109" xfId="2" applyNumberFormat="1" applyFont="1" applyFill="1" applyBorder="1" applyAlignment="1">
      <alignment horizontal="left"/>
    </xf>
    <xf numFmtId="164" fontId="28" fillId="16" borderId="110" xfId="2" applyNumberFormat="1" applyFont="1" applyFill="1" applyBorder="1" applyAlignment="1">
      <alignment horizontal="left"/>
    </xf>
    <xf numFmtId="0" fontId="23" fillId="6" borderId="0" xfId="0" applyFont="1" applyFill="1" applyAlignment="1">
      <alignment horizontal="left"/>
    </xf>
    <xf numFmtId="0" fontId="31" fillId="0" borderId="0" xfId="0" applyFont="1" applyAlignment="1">
      <alignment horizontal="right"/>
    </xf>
    <xf numFmtId="0" fontId="23" fillId="10" borderId="98" xfId="0" applyFont="1" applyFill="1" applyBorder="1" applyAlignment="1">
      <alignment horizontal="center"/>
    </xf>
    <xf numFmtId="0" fontId="23" fillId="10" borderId="34" xfId="0" applyFont="1" applyFill="1" applyBorder="1" applyAlignment="1">
      <alignment horizontal="center"/>
    </xf>
    <xf numFmtId="0" fontId="23" fillId="16" borderId="34" xfId="0" applyFont="1" applyFill="1" applyBorder="1" applyAlignment="1">
      <alignment horizontal="center"/>
    </xf>
    <xf numFmtId="9" fontId="23" fillId="6" borderId="34" xfId="3" applyFont="1" applyFill="1" applyBorder="1" applyAlignment="1">
      <alignment horizontal="center" vertical="center"/>
    </xf>
    <xf numFmtId="0" fontId="66" fillId="0" borderId="0" xfId="0" applyFont="1" applyAlignment="1">
      <alignment horizontal="center" vertical="center"/>
    </xf>
    <xf numFmtId="164" fontId="28" fillId="9" borderId="87" xfId="0" applyNumberFormat="1" applyFont="1" applyFill="1" applyBorder="1" applyAlignment="1">
      <alignment horizontal="center" vertical="center" wrapText="1"/>
    </xf>
    <xf numFmtId="164" fontId="28" fillId="9" borderId="88" xfId="0" applyNumberFormat="1" applyFont="1" applyFill="1" applyBorder="1" applyAlignment="1">
      <alignment horizontal="center" vertical="center" wrapText="1"/>
    </xf>
    <xf numFmtId="164" fontId="28" fillId="9" borderId="20" xfId="0" applyNumberFormat="1" applyFont="1" applyFill="1" applyBorder="1" applyAlignment="1">
      <alignment horizontal="center" vertical="center" wrapText="1"/>
    </xf>
    <xf numFmtId="164" fontId="28" fillId="9" borderId="19" xfId="0" applyNumberFormat="1" applyFont="1" applyFill="1" applyBorder="1" applyAlignment="1">
      <alignment horizontal="center" vertical="center" wrapText="1"/>
    </xf>
    <xf numFmtId="164" fontId="28" fillId="14" borderId="87" xfId="0" applyNumberFormat="1" applyFont="1" applyFill="1" applyBorder="1" applyAlignment="1">
      <alignment horizontal="center" vertical="center" wrapText="1"/>
    </xf>
    <xf numFmtId="164" fontId="28" fillId="14" borderId="88" xfId="0" applyNumberFormat="1" applyFont="1" applyFill="1" applyBorder="1" applyAlignment="1">
      <alignment horizontal="center" vertical="center" wrapText="1"/>
    </xf>
    <xf numFmtId="164" fontId="28" fillId="14" borderId="20" xfId="0" applyNumberFormat="1" applyFont="1" applyFill="1" applyBorder="1" applyAlignment="1">
      <alignment horizontal="center" vertical="center" wrapText="1"/>
    </xf>
    <xf numFmtId="164" fontId="28" fillId="14" borderId="19" xfId="0" applyNumberFormat="1" applyFont="1" applyFill="1" applyBorder="1" applyAlignment="1">
      <alignment horizontal="center" vertical="center" wrapText="1"/>
    </xf>
    <xf numFmtId="0" fontId="23" fillId="10" borderId="90" xfId="0" applyFont="1" applyFill="1" applyBorder="1"/>
    <xf numFmtId="0" fontId="23" fillId="10" borderId="91" xfId="0" applyFont="1" applyFill="1" applyBorder="1"/>
    <xf numFmtId="0" fontId="23" fillId="10" borderId="0" xfId="0" applyFont="1" applyFill="1" applyAlignment="1">
      <alignment horizontal="center"/>
    </xf>
    <xf numFmtId="0" fontId="23" fillId="10" borderId="89" xfId="0" applyFont="1" applyFill="1" applyBorder="1"/>
    <xf numFmtId="9" fontId="91" fillId="20" borderId="34" xfId="3" applyFont="1" applyFill="1" applyBorder="1" applyAlignment="1">
      <alignment horizontal="center"/>
    </xf>
    <xf numFmtId="9" fontId="23" fillId="6" borderId="34" xfId="3" applyFont="1" applyFill="1" applyBorder="1" applyAlignment="1">
      <alignment horizontal="center"/>
    </xf>
    <xf numFmtId="164" fontId="23" fillId="6" borderId="34" xfId="2" applyNumberFormat="1" applyFont="1" applyFill="1" applyBorder="1" applyAlignment="1">
      <alignment horizontal="center" vertical="center"/>
    </xf>
    <xf numFmtId="0" fontId="23" fillId="17" borderId="0" xfId="0" applyFont="1" applyFill="1" applyAlignment="1">
      <alignment horizontal="center" vertical="center"/>
    </xf>
    <xf numFmtId="0" fontId="28" fillId="3" borderId="21" xfId="0" applyFont="1" applyFill="1" applyBorder="1" applyAlignment="1">
      <alignment horizontal="center"/>
    </xf>
    <xf numFmtId="0" fontId="28" fillId="3" borderId="92" xfId="0" applyFont="1" applyFill="1" applyBorder="1" applyAlignment="1">
      <alignment horizontal="center"/>
    </xf>
    <xf numFmtId="0" fontId="28" fillId="3" borderId="18" xfId="0" applyFont="1" applyFill="1" applyBorder="1" applyAlignment="1">
      <alignment horizontal="center"/>
    </xf>
    <xf numFmtId="0" fontId="23" fillId="10" borderId="0" xfId="0" applyFont="1" applyFill="1" applyAlignment="1">
      <alignment wrapText="1"/>
    </xf>
    <xf numFmtId="0" fontId="76" fillId="15" borderId="20" xfId="0" applyFont="1" applyFill="1" applyBorder="1" applyAlignment="1">
      <alignment horizontal="center"/>
    </xf>
    <xf numFmtId="0" fontId="76" fillId="15" borderId="93" xfId="0" applyFont="1" applyFill="1" applyBorder="1" applyAlignment="1">
      <alignment horizontal="center"/>
    </xf>
    <xf numFmtId="0" fontId="76" fillId="15" borderId="19" xfId="0" applyFont="1" applyFill="1" applyBorder="1" applyAlignment="1">
      <alignment horizontal="center"/>
    </xf>
    <xf numFmtId="0" fontId="28" fillId="3" borderId="88" xfId="0" applyFont="1" applyFill="1" applyBorder="1" applyAlignment="1">
      <alignment horizontal="center"/>
    </xf>
    <xf numFmtId="0" fontId="28" fillId="3" borderId="94" xfId="0" applyFont="1" applyFill="1" applyBorder="1" applyAlignment="1">
      <alignment horizontal="center"/>
    </xf>
    <xf numFmtId="0" fontId="77" fillId="3" borderId="92" xfId="0" applyFont="1" applyFill="1" applyBorder="1" applyAlignment="1">
      <alignment horizontal="center"/>
    </xf>
    <xf numFmtId="0" fontId="77" fillId="3" borderId="18" xfId="0" applyFont="1" applyFill="1" applyBorder="1" applyAlignment="1">
      <alignment horizontal="center"/>
    </xf>
    <xf numFmtId="0" fontId="28" fillId="3" borderId="20" xfId="0" applyFont="1" applyFill="1" applyBorder="1" applyAlignment="1">
      <alignment horizontal="center"/>
    </xf>
    <xf numFmtId="0" fontId="28" fillId="3" borderId="93" xfId="0" applyFont="1" applyFill="1" applyBorder="1" applyAlignment="1">
      <alignment horizontal="center"/>
    </xf>
    <xf numFmtId="0" fontId="28" fillId="3" borderId="19" xfId="0" applyFont="1" applyFill="1" applyBorder="1" applyAlignment="1">
      <alignment horizontal="center"/>
    </xf>
    <xf numFmtId="0" fontId="28" fillId="3" borderId="16" xfId="0" applyFont="1" applyFill="1" applyBorder="1" applyAlignment="1">
      <alignment horizontal="center"/>
    </xf>
    <xf numFmtId="164" fontId="77" fillId="11" borderId="40" xfId="2" applyNumberFormat="1" applyFont="1" applyFill="1" applyBorder="1" applyAlignment="1">
      <alignment horizontal="center"/>
    </xf>
  </cellXfs>
  <cellStyles count="6">
    <cellStyle name="Comma" xfId="4" builtinId="3"/>
    <cellStyle name="Currency" xfId="2" builtinId="4"/>
    <cellStyle name="Hyperlink" xfId="1" builtinId="8"/>
    <cellStyle name="Normal" xfId="0" builtinId="0"/>
    <cellStyle name="Normal 2" xfId="5" xr:uid="{5ED6576A-D741-46DF-962B-762B31B37728}"/>
    <cellStyle name="Percent" xfId="3" builtinId="5"/>
  </cellStyles>
  <dxfs count="12">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006100"/>
      </font>
      <fill>
        <patternFill>
          <bgColor rgb="FFC6EFCE"/>
        </patternFill>
      </fill>
    </dxf>
  </dxfs>
  <tableStyles count="0" defaultTableStyle="TableStyleMedium9" defaultPivotStyle="PivotStyleLight16"/>
  <colors>
    <mruColors>
      <color rgb="FFFFFF99"/>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ctrlProps/ctrlProp1.xml><?xml version="1.0" encoding="utf-8"?>
<formControlPr xmlns="http://schemas.microsoft.com/office/spreadsheetml/2009/9/main" objectType="GBox"/>
</file>

<file path=xl/ctrlProps/ctrlProp10.xml><?xml version="1.0" encoding="utf-8"?>
<formControlPr xmlns="http://schemas.microsoft.com/office/spreadsheetml/2009/9/main" objectType="Drop" dropStyle="combo" dx="31" fmlaLink="Munka1!$B$193" fmlaRange="Munka1!$E$55:$E$91" noThreeD="1" sel="1" val="0"/>
</file>

<file path=xl/ctrlProps/ctrlProp11.xml><?xml version="1.0" encoding="utf-8"?>
<formControlPr xmlns="http://schemas.microsoft.com/office/spreadsheetml/2009/9/main" objectType="GBox"/>
</file>

<file path=xl/ctrlProps/ctrlProp12.xml><?xml version="1.0" encoding="utf-8"?>
<formControlPr xmlns="http://schemas.microsoft.com/office/spreadsheetml/2009/9/main" objectType="GBox"/>
</file>

<file path=xl/ctrlProps/ctrlProp13.xml><?xml version="1.0" encoding="utf-8"?>
<formControlPr xmlns="http://schemas.microsoft.com/office/spreadsheetml/2009/9/main" objectType="Radio" checked="Checked" firstButton="1" fmlaLink="Munka1!$B$147" lockText="1"/>
</file>

<file path=xl/ctrlProps/ctrlProp14.xml><?xml version="1.0" encoding="utf-8"?>
<formControlPr xmlns="http://schemas.microsoft.com/office/spreadsheetml/2009/9/main" objectType="Radio" checked="Checked" firstButton="1" fmlaLink="Munka1!$B$173" lockText="1"/>
</file>

<file path=xl/ctrlProps/ctrlProp15.xml><?xml version="1.0" encoding="utf-8"?>
<formControlPr xmlns="http://schemas.microsoft.com/office/spreadsheetml/2009/9/main" objectType="Radio" lockText="1"/>
</file>

<file path=xl/ctrlProps/ctrlProp16.xml><?xml version="1.0" encoding="utf-8"?>
<formControlPr xmlns="http://schemas.microsoft.com/office/spreadsheetml/2009/9/main" objectType="Radio" lockText="1"/>
</file>

<file path=xl/ctrlProps/ctrlProp17.xml><?xml version="1.0" encoding="utf-8"?>
<formControlPr xmlns="http://schemas.microsoft.com/office/spreadsheetml/2009/9/main" objectType="Radio" lockText="1"/>
</file>

<file path=xl/ctrlProps/ctrlProp18.xml><?xml version="1.0" encoding="utf-8"?>
<formControlPr xmlns="http://schemas.microsoft.com/office/spreadsheetml/2009/9/main" objectType="CheckBox" fmlaLink="Munka1!$B$207" lockText="1"/>
</file>

<file path=xl/ctrlProps/ctrlProp19.xml><?xml version="1.0" encoding="utf-8"?>
<formControlPr xmlns="http://schemas.microsoft.com/office/spreadsheetml/2009/9/main" objectType="CheckBox" fmlaLink="Munka1!$B$183" lockText="1"/>
</file>

<file path=xl/ctrlProps/ctrlProp2.xml><?xml version="1.0" encoding="utf-8"?>
<formControlPr xmlns="http://schemas.microsoft.com/office/spreadsheetml/2009/9/main" objectType="Drop" dropLines="30" dropStyle="combo" dx="31" fmlaLink="Munka1!$B$114" fmlaRange="Munka1!$B$288:$B$357" sel="66" val="40"/>
</file>

<file path=xl/ctrlProps/ctrlProp20.xml><?xml version="1.0" encoding="utf-8"?>
<formControlPr xmlns="http://schemas.microsoft.com/office/spreadsheetml/2009/9/main" objectType="GBox"/>
</file>

<file path=xl/ctrlProps/ctrlProp21.xml><?xml version="1.0" encoding="utf-8"?>
<formControlPr xmlns="http://schemas.microsoft.com/office/spreadsheetml/2009/9/main" objectType="Radio" firstButton="1" fmlaLink="Munka1!$B$121" lockText="1"/>
</file>

<file path=xl/ctrlProps/ctrlProp22.xml><?xml version="1.0" encoding="utf-8"?>
<formControlPr xmlns="http://schemas.microsoft.com/office/spreadsheetml/2009/9/main" objectType="Radio" lockText="1"/>
</file>

<file path=xl/ctrlProps/ctrlProp23.xml><?xml version="1.0" encoding="utf-8"?>
<formControlPr xmlns="http://schemas.microsoft.com/office/spreadsheetml/2009/9/main" objectType="Radio" checked="Checked" lockText="1"/>
</file>

<file path=xl/ctrlProps/ctrlProp24.xml><?xml version="1.0" encoding="utf-8"?>
<formControlPr xmlns="http://schemas.microsoft.com/office/spreadsheetml/2009/9/main" objectType="GBox"/>
</file>

<file path=xl/ctrlProps/ctrlProp25.xml><?xml version="1.0" encoding="utf-8"?>
<formControlPr xmlns="http://schemas.microsoft.com/office/spreadsheetml/2009/9/main" objectType="GBox"/>
</file>

<file path=xl/ctrlProps/ctrlProp26.xml><?xml version="1.0" encoding="utf-8"?>
<formControlPr xmlns="http://schemas.microsoft.com/office/spreadsheetml/2009/9/main" objectType="Radio" firstButton="1" fmlaLink="Munka1!$B$200" lockText="1"/>
</file>

<file path=xl/ctrlProps/ctrlProp27.xml><?xml version="1.0" encoding="utf-8"?>
<formControlPr xmlns="http://schemas.microsoft.com/office/spreadsheetml/2009/9/main" objectType="Radio" lockText="1"/>
</file>

<file path=xl/ctrlProps/ctrlProp28.xml><?xml version="1.0" encoding="utf-8"?>
<formControlPr xmlns="http://schemas.microsoft.com/office/spreadsheetml/2009/9/main" objectType="GBox"/>
</file>

<file path=xl/ctrlProps/ctrlProp29.xml><?xml version="1.0" encoding="utf-8"?>
<formControlPr xmlns="http://schemas.microsoft.com/office/spreadsheetml/2009/9/main" objectType="CheckBox" fmlaLink="Munka1!$B$248" lockText="1"/>
</file>

<file path=xl/ctrlProps/ctrlProp3.xml><?xml version="1.0" encoding="utf-8"?>
<formControlPr xmlns="http://schemas.microsoft.com/office/spreadsheetml/2009/9/main" objectType="CheckBox" fmlaLink="Munka1!$B$188" lockText="1"/>
</file>

<file path=xl/ctrlProps/ctrlProp30.xml><?xml version="1.0" encoding="utf-8"?>
<formControlPr xmlns="http://schemas.microsoft.com/office/spreadsheetml/2009/9/main" objectType="CheckBox" fmlaLink="Munka1!$B$250" lockText="1"/>
</file>

<file path=xl/ctrlProps/ctrlProp31.xml><?xml version="1.0" encoding="utf-8"?>
<formControlPr xmlns="http://schemas.microsoft.com/office/spreadsheetml/2009/9/main" objectType="Radio" checked="Checked" firstButton="1" fmlaLink="Munka1!$B$230" lockText="1"/>
</file>

<file path=xl/ctrlProps/ctrlProp32.xml><?xml version="1.0" encoding="utf-8"?>
<formControlPr xmlns="http://schemas.microsoft.com/office/spreadsheetml/2009/9/main" objectType="Radio" lockText="1"/>
</file>

<file path=xl/ctrlProps/ctrlProp33.xml><?xml version="1.0" encoding="utf-8"?>
<formControlPr xmlns="http://schemas.microsoft.com/office/spreadsheetml/2009/9/main" objectType="Drop" dropLines="30" dropStyle="combo" dx="31" fmlaLink="Munka1!$B$245" fmlaRange="Munka1!$B$366:$B$392" sel="2" val="0"/>
</file>

<file path=xl/ctrlProps/ctrlProp34.xml><?xml version="1.0" encoding="utf-8"?>
<formControlPr xmlns="http://schemas.microsoft.com/office/spreadsheetml/2009/9/main" objectType="CheckBox" fmlaLink="Munka1!$B$252" lockText="1"/>
</file>

<file path=xl/ctrlProps/ctrlProp35.xml><?xml version="1.0" encoding="utf-8"?>
<formControlPr xmlns="http://schemas.microsoft.com/office/spreadsheetml/2009/9/main" objectType="GBox"/>
</file>

<file path=xl/ctrlProps/ctrlProp36.xml><?xml version="1.0" encoding="utf-8"?>
<formControlPr xmlns="http://schemas.microsoft.com/office/spreadsheetml/2009/9/main" objectType="Radio" firstButton="1" fmlaLink="Munka1!$B$52" lockText="1"/>
</file>

<file path=xl/ctrlProps/ctrlProp37.xml><?xml version="1.0" encoding="utf-8"?>
<formControlPr xmlns="http://schemas.microsoft.com/office/spreadsheetml/2009/9/main" objectType="Radio" checked="Checked" lockText="1"/>
</file>

<file path=xl/ctrlProps/ctrlProp38.xml><?xml version="1.0" encoding="utf-8"?>
<formControlPr xmlns="http://schemas.microsoft.com/office/spreadsheetml/2009/9/main" objectType="GBox"/>
</file>

<file path=xl/ctrlProps/ctrlProp39.xml><?xml version="1.0" encoding="utf-8"?>
<formControlPr xmlns="http://schemas.microsoft.com/office/spreadsheetml/2009/9/main" objectType="Radio" checked="Checked" firstButton="1" fmlaLink="Munka1!$B$209" lockText="1"/>
</file>

<file path=xl/ctrlProps/ctrlProp4.xml><?xml version="1.0" encoding="utf-8"?>
<formControlPr xmlns="http://schemas.microsoft.com/office/spreadsheetml/2009/9/main" objectType="CheckBox" fmlaLink="Munka1!$B$229" lockText="1"/>
</file>

<file path=xl/ctrlProps/ctrlProp40.xml><?xml version="1.0" encoding="utf-8"?>
<formControlPr xmlns="http://schemas.microsoft.com/office/spreadsheetml/2009/9/main" objectType="Radio" lockText="1"/>
</file>

<file path=xl/ctrlProps/ctrlProp41.xml><?xml version="1.0" encoding="utf-8"?>
<formControlPr xmlns="http://schemas.microsoft.com/office/spreadsheetml/2009/9/main" objectType="Radio" firstButton="1" fmlaLink="Munka1!$B$210" lockText="1"/>
</file>

<file path=xl/ctrlProps/ctrlProp42.xml><?xml version="1.0" encoding="utf-8"?>
<formControlPr xmlns="http://schemas.microsoft.com/office/spreadsheetml/2009/9/main" objectType="Radio" lockText="1"/>
</file>

<file path=xl/ctrlProps/ctrlProp43.xml><?xml version="1.0" encoding="utf-8"?>
<formControlPr xmlns="http://schemas.microsoft.com/office/spreadsheetml/2009/9/main" objectType="Radio" checked="Checked" lockText="1"/>
</file>

<file path=xl/ctrlProps/ctrlProp44.xml><?xml version="1.0" encoding="utf-8"?>
<formControlPr xmlns="http://schemas.microsoft.com/office/spreadsheetml/2009/9/main" objectType="GBox"/>
</file>

<file path=xl/ctrlProps/ctrlProp45.xml><?xml version="1.0" encoding="utf-8"?>
<formControlPr xmlns="http://schemas.microsoft.com/office/spreadsheetml/2009/9/main" objectType="Radio" lockText="1"/>
</file>

<file path=xl/ctrlProps/ctrlProp46.xml><?xml version="1.0" encoding="utf-8"?>
<formControlPr xmlns="http://schemas.microsoft.com/office/spreadsheetml/2009/9/main" objectType="CheckBox" fmlaLink="Munka1!$B$254" lockText="1"/>
</file>

<file path=xl/ctrlProps/ctrlProp47.xml><?xml version="1.0" encoding="utf-8"?>
<formControlPr xmlns="http://schemas.microsoft.com/office/spreadsheetml/2009/9/main" objectType="Radio" lockText="1"/>
</file>

<file path=xl/ctrlProps/ctrlProp48.xml><?xml version="1.0" encoding="utf-8"?>
<formControlPr xmlns="http://schemas.microsoft.com/office/spreadsheetml/2009/9/main" objectType="Drop" dropLines="3" dropStyle="combo" dx="31" fmlaLink="Munka1!$G$216" fmlaRange="Munka1!$C$222:$C$224" noThreeD="1" sel="1" val="0"/>
</file>

<file path=xl/ctrlProps/ctrlProp49.xml><?xml version="1.0" encoding="utf-8"?>
<formControlPr xmlns="http://schemas.microsoft.com/office/spreadsheetml/2009/9/main" objectType="Radio" checked="Checked" firstButton="1" fmlaLink="Munka1!$B$208" lockText="1"/>
</file>

<file path=xl/ctrlProps/ctrlProp5.xml><?xml version="1.0" encoding="utf-8"?>
<formControlPr xmlns="http://schemas.microsoft.com/office/spreadsheetml/2009/9/main" objectType="CheckBox" fmlaLink="Munka1!$B$232" lockText="1"/>
</file>

<file path=xl/ctrlProps/ctrlProp50.xml><?xml version="1.0" encoding="utf-8"?>
<formControlPr xmlns="http://schemas.microsoft.com/office/spreadsheetml/2009/9/main" objectType="Radio" lockText="1"/>
</file>

<file path=xl/ctrlProps/ctrlProp51.xml><?xml version="1.0" encoding="utf-8"?>
<formControlPr xmlns="http://schemas.microsoft.com/office/spreadsheetml/2009/9/main" objectType="Radio" lockText="1"/>
</file>

<file path=xl/ctrlProps/ctrlProp52.xml><?xml version="1.0" encoding="utf-8"?>
<formControlPr xmlns="http://schemas.microsoft.com/office/spreadsheetml/2009/9/main" objectType="Radio" checked="Checked" lockText="1"/>
</file>

<file path=xl/ctrlProps/ctrlProp6.xml><?xml version="1.0" encoding="utf-8"?>
<formControlPr xmlns="http://schemas.microsoft.com/office/spreadsheetml/2009/9/main" objectType="CheckBox" fmlaLink="Munka1!$B$242" lockText="1"/>
</file>

<file path=xl/ctrlProps/ctrlProp7.xml><?xml version="1.0" encoding="utf-8"?>
<formControlPr xmlns="http://schemas.microsoft.com/office/spreadsheetml/2009/9/main" objectType="CheckBox" fmlaLink="Munka1!$B$244" lockText="1"/>
</file>

<file path=xl/ctrlProps/ctrlProp8.xml><?xml version="1.0" encoding="utf-8"?>
<formControlPr xmlns="http://schemas.microsoft.com/office/spreadsheetml/2009/9/main" objectType="GBox"/>
</file>

<file path=xl/ctrlProps/ctrlProp9.xml><?xml version="1.0" encoding="utf-8"?>
<formControlPr xmlns="http://schemas.microsoft.com/office/spreadsheetml/2009/9/main" objectType="GBox"/>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8" Type="http://schemas.openxmlformats.org/officeDocument/2006/relationships/image" Target="../media/image12.png"/><Relationship Id="rId13" Type="http://schemas.openxmlformats.org/officeDocument/2006/relationships/image" Target="../media/image17.png"/><Relationship Id="rId18" Type="http://schemas.openxmlformats.org/officeDocument/2006/relationships/image" Target="../media/image21.png"/><Relationship Id="rId3" Type="http://schemas.openxmlformats.org/officeDocument/2006/relationships/image" Target="../media/image7.png"/><Relationship Id="rId21" Type="http://schemas.openxmlformats.org/officeDocument/2006/relationships/image" Target="../media/image24.jpeg"/><Relationship Id="rId7" Type="http://schemas.openxmlformats.org/officeDocument/2006/relationships/image" Target="../media/image11.png"/><Relationship Id="rId12" Type="http://schemas.openxmlformats.org/officeDocument/2006/relationships/image" Target="../media/image16.png"/><Relationship Id="rId17" Type="http://schemas.openxmlformats.org/officeDocument/2006/relationships/image" Target="../media/image2.jpeg"/><Relationship Id="rId2" Type="http://schemas.openxmlformats.org/officeDocument/2006/relationships/image" Target="../media/image6.png"/><Relationship Id="rId16" Type="http://schemas.openxmlformats.org/officeDocument/2006/relationships/image" Target="../media/image20.png"/><Relationship Id="rId20" Type="http://schemas.openxmlformats.org/officeDocument/2006/relationships/image" Target="../media/image23.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5.png"/><Relationship Id="rId5" Type="http://schemas.openxmlformats.org/officeDocument/2006/relationships/image" Target="../media/image9.png"/><Relationship Id="rId15" Type="http://schemas.openxmlformats.org/officeDocument/2006/relationships/image" Target="../media/image19.png"/><Relationship Id="rId10" Type="http://schemas.openxmlformats.org/officeDocument/2006/relationships/image" Target="../media/image14.png"/><Relationship Id="rId19" Type="http://schemas.openxmlformats.org/officeDocument/2006/relationships/image" Target="../media/image22.png"/><Relationship Id="rId4" Type="http://schemas.openxmlformats.org/officeDocument/2006/relationships/image" Target="../media/image8.png"/><Relationship Id="rId9" Type="http://schemas.openxmlformats.org/officeDocument/2006/relationships/image" Target="../media/image13.png"/><Relationship Id="rId14" Type="http://schemas.openxmlformats.org/officeDocument/2006/relationships/image" Target="../media/image18.png"/><Relationship Id="rId22" Type="http://schemas.openxmlformats.org/officeDocument/2006/relationships/image" Target="../media/image25.png"/></Relationships>
</file>

<file path=xl/drawings/_rels/drawing4.xml.rels><?xml version="1.0" encoding="UTF-8" standalone="yes"?>
<Relationships xmlns="http://schemas.openxmlformats.org/package/2006/relationships"><Relationship Id="rId3" Type="http://schemas.openxmlformats.org/officeDocument/2006/relationships/image" Target="../media/image28.jpeg"/><Relationship Id="rId2" Type="http://schemas.openxmlformats.org/officeDocument/2006/relationships/image" Target="../media/image27.png"/><Relationship Id="rId1" Type="http://schemas.openxmlformats.org/officeDocument/2006/relationships/image" Target="../media/image26.png"/></Relationships>
</file>

<file path=xl/drawings/_rels/drawing5.xml.rels><?xml version="1.0" encoding="UTF-8" standalone="yes"?>
<Relationships xmlns="http://schemas.openxmlformats.org/package/2006/relationships"><Relationship Id="rId1" Type="http://schemas.openxmlformats.org/officeDocument/2006/relationships/image" Target="../media/image29.png"/></Relationships>
</file>

<file path=xl/drawings/_rels/drawing6.xml.rels><?xml version="1.0" encoding="UTF-8" standalone="yes"?>
<Relationships xmlns="http://schemas.openxmlformats.org/package/2006/relationships"><Relationship Id="rId1" Type="http://schemas.openxmlformats.org/officeDocument/2006/relationships/image" Target="../media/image28.jpeg"/></Relationships>
</file>

<file path=xl/drawings/drawing1.xml><?xml version="1.0" encoding="utf-8"?>
<xdr:wsDr xmlns:xdr="http://schemas.openxmlformats.org/drawingml/2006/spreadsheetDrawing" xmlns:a="http://schemas.openxmlformats.org/drawingml/2006/main">
  <xdr:twoCellAnchor editAs="oneCell">
    <xdr:from>
      <xdr:col>14</xdr:col>
      <xdr:colOff>581025</xdr:colOff>
      <xdr:row>2</xdr:row>
      <xdr:rowOff>376238</xdr:rowOff>
    </xdr:from>
    <xdr:to>
      <xdr:col>17</xdr:col>
      <xdr:colOff>975</xdr:colOff>
      <xdr:row>9</xdr:row>
      <xdr:rowOff>0</xdr:rowOff>
    </xdr:to>
    <xdr:pic>
      <xdr:nvPicPr>
        <xdr:cNvPr id="38447" name="Picture 28" descr="hörmann logó 2">
          <a:extLst>
            <a:ext uri="{FF2B5EF4-FFF2-40B4-BE49-F238E27FC236}">
              <a16:creationId xmlns:a16="http://schemas.microsoft.com/office/drawing/2014/main" id="{00000000-0008-0000-0100-00002F9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86475" y="476250"/>
          <a:ext cx="823913"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107020</xdr:colOff>
      <xdr:row>3</xdr:row>
      <xdr:rowOff>1971</xdr:rowOff>
    </xdr:from>
    <xdr:to>
      <xdr:col>5</xdr:col>
      <xdr:colOff>343493</xdr:colOff>
      <xdr:row>5</xdr:row>
      <xdr:rowOff>31418</xdr:rowOff>
    </xdr:to>
    <xdr:pic>
      <xdr:nvPicPr>
        <xdr:cNvPr id="38448" name="Picture 76" descr=",kék mallerhu">
          <a:extLst>
            <a:ext uri="{FF2B5EF4-FFF2-40B4-BE49-F238E27FC236}">
              <a16:creationId xmlns:a16="http://schemas.microsoft.com/office/drawing/2014/main" id="{00000000-0008-0000-0100-000030960000}"/>
            </a:ext>
          </a:extLst>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b="22685"/>
        <a:stretch/>
      </xdr:blipFill>
      <xdr:spPr bwMode="auto">
        <a:xfrm>
          <a:off x="361020" y="479316"/>
          <a:ext cx="1598056" cy="3527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498475</xdr:colOff>
      <xdr:row>5</xdr:row>
      <xdr:rowOff>93173</xdr:rowOff>
    </xdr:from>
    <xdr:to>
      <xdr:col>22</xdr:col>
      <xdr:colOff>501655</xdr:colOff>
      <xdr:row>7</xdr:row>
      <xdr:rowOff>1243</xdr:rowOff>
    </xdr:to>
    <xdr:sp macro="" textlink="">
      <xdr:nvSpPr>
        <xdr:cNvPr id="1183" name="Text Box 159">
          <a:extLst>
            <a:ext uri="{FF2B5EF4-FFF2-40B4-BE49-F238E27FC236}">
              <a16:creationId xmlns:a16="http://schemas.microsoft.com/office/drawing/2014/main" id="{00000000-0008-0000-0100-00009F040000}"/>
            </a:ext>
          </a:extLst>
        </xdr:cNvPr>
        <xdr:cNvSpPr txBox="1">
          <a:spLocks noChangeArrowheads="1"/>
        </xdr:cNvSpPr>
      </xdr:nvSpPr>
      <xdr:spPr bwMode="auto">
        <a:xfrm>
          <a:off x="7547044" y="833707"/>
          <a:ext cx="1609393" cy="305152"/>
        </a:xfrm>
        <a:prstGeom prst="rect">
          <a:avLst/>
        </a:prstGeom>
        <a:noFill/>
        <a:ln w="9525">
          <a:noFill/>
          <a:miter lim="800000"/>
          <a:headEnd/>
          <a:tailEnd/>
        </a:ln>
      </xdr:spPr>
      <xdr:txBody>
        <a:bodyPr vertOverflow="clip" wrap="square" lIns="27432" tIns="22860" rIns="0" bIns="0" anchor="t" upright="1"/>
        <a:lstStyle/>
        <a:p>
          <a:pPr algn="l" rtl="0">
            <a:defRPr sz="1000"/>
          </a:pPr>
          <a:r>
            <a:rPr lang="hu-HU" sz="800" b="1" i="0" u="none" strike="noStrike" baseline="0">
              <a:solidFill>
                <a:srgbClr val="000000"/>
              </a:solidFill>
              <a:latin typeface="Arial"/>
              <a:cs typeface="Arial"/>
            </a:rPr>
            <a:t>Nyílásméret</a:t>
          </a:r>
        </a:p>
        <a:p>
          <a:pPr algn="l" rtl="0">
            <a:defRPr sz="1000"/>
          </a:pPr>
          <a:endParaRPr lang="hu-HU" sz="100" b="0" i="0" u="none" strike="noStrike" baseline="0">
            <a:solidFill>
              <a:srgbClr val="000000"/>
            </a:solidFill>
            <a:latin typeface="Arial"/>
            <a:cs typeface="Arial"/>
          </a:endParaRPr>
        </a:p>
        <a:p>
          <a:pPr algn="l" rtl="0">
            <a:defRPr sz="1000"/>
          </a:pPr>
          <a:r>
            <a:rPr lang="hu-HU" sz="800" b="0" i="0" u="none" strike="noStrike" baseline="0">
              <a:solidFill>
                <a:srgbClr val="333333"/>
              </a:solidFill>
              <a:latin typeface="Arial"/>
              <a:cs typeface="Arial"/>
            </a:rPr>
            <a:t>szélesség x magasság:</a:t>
          </a:r>
        </a:p>
      </xdr:txBody>
    </xdr:sp>
    <xdr:clientData/>
  </xdr:twoCellAnchor>
  <xdr:twoCellAnchor>
    <xdr:from>
      <xdr:col>20</xdr:col>
      <xdr:colOff>388659</xdr:colOff>
      <xdr:row>17</xdr:row>
      <xdr:rowOff>69356</xdr:rowOff>
    </xdr:from>
    <xdr:to>
      <xdr:col>23</xdr:col>
      <xdr:colOff>229868</xdr:colOff>
      <xdr:row>17</xdr:row>
      <xdr:rowOff>303422</xdr:rowOff>
    </xdr:to>
    <xdr:sp macro="" textlink="">
      <xdr:nvSpPr>
        <xdr:cNvPr id="1185" name="Text Box 161">
          <a:extLst>
            <a:ext uri="{FF2B5EF4-FFF2-40B4-BE49-F238E27FC236}">
              <a16:creationId xmlns:a16="http://schemas.microsoft.com/office/drawing/2014/main" id="{00000000-0008-0000-0100-0000A1040000}"/>
            </a:ext>
          </a:extLst>
        </xdr:cNvPr>
        <xdr:cNvSpPr txBox="1">
          <a:spLocks noChangeArrowheads="1"/>
        </xdr:cNvSpPr>
      </xdr:nvSpPr>
      <xdr:spPr bwMode="auto">
        <a:xfrm>
          <a:off x="7503904" y="4011396"/>
          <a:ext cx="2207549" cy="241882"/>
        </a:xfrm>
        <a:prstGeom prst="rect">
          <a:avLst/>
        </a:prstGeom>
        <a:noFill/>
        <a:ln w="9525">
          <a:noFill/>
          <a:miter lim="800000"/>
          <a:headEnd/>
          <a:tailEnd/>
        </a:ln>
      </xdr:spPr>
      <xdr:txBody>
        <a:bodyPr vertOverflow="clip" wrap="square" lIns="27432" tIns="22860" rIns="0" bIns="0" anchor="t" upright="1"/>
        <a:lstStyle/>
        <a:p>
          <a:pPr algn="l" rtl="0">
            <a:defRPr sz="1000"/>
          </a:pPr>
          <a:r>
            <a:rPr lang="hu-HU" sz="800" b="1" i="0" u="none" strike="noStrike" baseline="0">
              <a:solidFill>
                <a:schemeClr val="tx2"/>
              </a:solidFill>
              <a:latin typeface="Arial"/>
              <a:cs typeface="Arial"/>
            </a:rPr>
            <a:t>Kapukiegészítők</a:t>
          </a:r>
        </a:p>
      </xdr:txBody>
    </xdr:sp>
    <xdr:clientData/>
  </xdr:twoCellAnchor>
  <xdr:twoCellAnchor>
    <xdr:from>
      <xdr:col>20</xdr:col>
      <xdr:colOff>387349</xdr:colOff>
      <xdr:row>4</xdr:row>
      <xdr:rowOff>3252</xdr:rowOff>
    </xdr:from>
    <xdr:to>
      <xdr:col>23</xdr:col>
      <xdr:colOff>241329</xdr:colOff>
      <xdr:row>5</xdr:row>
      <xdr:rowOff>1832</xdr:rowOff>
    </xdr:to>
    <xdr:sp macro="" textlink="">
      <xdr:nvSpPr>
        <xdr:cNvPr id="1186" name="Text Box 162">
          <a:extLst>
            <a:ext uri="{FF2B5EF4-FFF2-40B4-BE49-F238E27FC236}">
              <a16:creationId xmlns:a16="http://schemas.microsoft.com/office/drawing/2014/main" id="{00000000-0008-0000-0100-0000A2040000}"/>
            </a:ext>
          </a:extLst>
        </xdr:cNvPr>
        <xdr:cNvSpPr txBox="1">
          <a:spLocks noChangeArrowheads="1"/>
        </xdr:cNvSpPr>
      </xdr:nvSpPr>
      <xdr:spPr bwMode="auto">
        <a:xfrm>
          <a:off x="7502594" y="603929"/>
          <a:ext cx="2213850" cy="155240"/>
        </a:xfrm>
        <a:prstGeom prst="rect">
          <a:avLst/>
        </a:prstGeom>
        <a:noFill/>
        <a:ln w="9525">
          <a:noFill/>
          <a:miter lim="800000"/>
          <a:headEnd/>
          <a:tailEnd/>
        </a:ln>
      </xdr:spPr>
      <xdr:txBody>
        <a:bodyPr vertOverflow="clip" wrap="square" lIns="27432" tIns="22860" rIns="0" bIns="0" anchor="t" upright="1"/>
        <a:lstStyle/>
        <a:p>
          <a:pPr algn="l" rtl="0">
            <a:defRPr sz="1000"/>
          </a:pPr>
          <a:r>
            <a:rPr lang="hu-HU" sz="800" b="1" i="0" u="none" strike="noStrike" baseline="0">
              <a:solidFill>
                <a:schemeClr val="tx2"/>
              </a:solidFill>
              <a:latin typeface="Arial"/>
              <a:cs typeface="Arial"/>
            </a:rPr>
            <a:t>Hörmann szekcionált garázskapu</a:t>
          </a:r>
        </a:p>
      </xdr:txBody>
    </xdr:sp>
    <xdr:clientData/>
  </xdr:twoCellAnchor>
  <xdr:twoCellAnchor>
    <xdr:from>
      <xdr:col>20</xdr:col>
      <xdr:colOff>416612</xdr:colOff>
      <xdr:row>21</xdr:row>
      <xdr:rowOff>1271</xdr:rowOff>
    </xdr:from>
    <xdr:to>
      <xdr:col>21</xdr:col>
      <xdr:colOff>424573</xdr:colOff>
      <xdr:row>21</xdr:row>
      <xdr:rowOff>192266</xdr:rowOff>
    </xdr:to>
    <xdr:sp macro="" textlink="">
      <xdr:nvSpPr>
        <xdr:cNvPr id="1187" name="Text Box 163">
          <a:extLst>
            <a:ext uri="{FF2B5EF4-FFF2-40B4-BE49-F238E27FC236}">
              <a16:creationId xmlns:a16="http://schemas.microsoft.com/office/drawing/2014/main" id="{00000000-0008-0000-0100-0000A3040000}"/>
            </a:ext>
          </a:extLst>
        </xdr:cNvPr>
        <xdr:cNvSpPr txBox="1">
          <a:spLocks noChangeArrowheads="1"/>
        </xdr:cNvSpPr>
      </xdr:nvSpPr>
      <xdr:spPr bwMode="auto">
        <a:xfrm>
          <a:off x="7690975" y="5247685"/>
          <a:ext cx="835651" cy="143246"/>
        </a:xfrm>
        <a:prstGeom prst="rect">
          <a:avLst/>
        </a:prstGeom>
        <a:noFill/>
        <a:ln w="9525">
          <a:noFill/>
          <a:miter lim="800000"/>
          <a:headEnd/>
          <a:tailEnd/>
        </a:ln>
      </xdr:spPr>
      <xdr:txBody>
        <a:bodyPr vertOverflow="clip" wrap="square" lIns="27432" tIns="22860" rIns="0" bIns="0" anchor="t" upright="1"/>
        <a:lstStyle/>
        <a:p>
          <a:pPr algn="l" rtl="0">
            <a:defRPr sz="1000"/>
          </a:pPr>
          <a:r>
            <a:rPr lang="hu-HU" sz="800" b="1" i="0" u="none" strike="noStrike" baseline="0">
              <a:solidFill>
                <a:schemeClr val="tx2"/>
              </a:solidFill>
              <a:latin typeface="Arial"/>
              <a:cs typeface="Arial"/>
            </a:rPr>
            <a:t>Motor</a:t>
          </a:r>
        </a:p>
      </xdr:txBody>
    </xdr:sp>
    <xdr:clientData/>
  </xdr:twoCellAnchor>
  <xdr:twoCellAnchor>
    <xdr:from>
      <xdr:col>20</xdr:col>
      <xdr:colOff>422052</xdr:colOff>
      <xdr:row>23</xdr:row>
      <xdr:rowOff>36241</xdr:rowOff>
    </xdr:from>
    <xdr:to>
      <xdr:col>24</xdr:col>
      <xdr:colOff>22244</xdr:colOff>
      <xdr:row>23</xdr:row>
      <xdr:rowOff>273442</xdr:rowOff>
    </xdr:to>
    <xdr:sp macro="" textlink="">
      <xdr:nvSpPr>
        <xdr:cNvPr id="1188" name="Text Box 164">
          <a:extLst>
            <a:ext uri="{FF2B5EF4-FFF2-40B4-BE49-F238E27FC236}">
              <a16:creationId xmlns:a16="http://schemas.microsoft.com/office/drawing/2014/main" id="{00000000-0008-0000-0100-0000A4040000}"/>
            </a:ext>
          </a:extLst>
        </xdr:cNvPr>
        <xdr:cNvSpPr txBox="1">
          <a:spLocks noChangeArrowheads="1"/>
        </xdr:cNvSpPr>
      </xdr:nvSpPr>
      <xdr:spPr bwMode="auto">
        <a:xfrm>
          <a:off x="7696415" y="5886233"/>
          <a:ext cx="2489863" cy="179111"/>
        </a:xfrm>
        <a:prstGeom prst="rect">
          <a:avLst/>
        </a:prstGeom>
        <a:noFill/>
        <a:ln w="9525">
          <a:noFill/>
          <a:miter lim="800000"/>
          <a:headEnd/>
          <a:tailEnd/>
        </a:ln>
      </xdr:spPr>
      <xdr:txBody>
        <a:bodyPr vertOverflow="clip" wrap="square" lIns="27432" tIns="22860" rIns="0" bIns="0" anchor="t" upright="1"/>
        <a:lstStyle/>
        <a:p>
          <a:pPr algn="l" rtl="0">
            <a:defRPr sz="1000"/>
          </a:pPr>
          <a:r>
            <a:rPr lang="hu-HU" sz="800" b="1" i="0" u="none" strike="noStrike" baseline="0">
              <a:solidFill>
                <a:schemeClr val="tx2"/>
              </a:solidFill>
              <a:latin typeface="Arial"/>
              <a:cs typeface="Arial"/>
            </a:rPr>
            <a:t>Távirányító</a:t>
          </a:r>
          <a:r>
            <a:rPr lang="hu-HU" sz="800" b="0" i="0" u="none" strike="noStrike" baseline="0">
              <a:solidFill>
                <a:schemeClr val="tx2"/>
              </a:solidFill>
              <a:latin typeface="Arial"/>
              <a:cs typeface="Arial"/>
            </a:rPr>
            <a:t> </a:t>
          </a:r>
          <a:r>
            <a:rPr lang="hu-HU" sz="800" b="0" i="0" u="none" strike="noStrike" baseline="0">
              <a:solidFill>
                <a:srgbClr val="333333"/>
              </a:solidFill>
              <a:latin typeface="Arial"/>
              <a:cs typeface="Arial"/>
            </a:rPr>
            <a:t>motorhoz csomagolton felül:</a:t>
          </a:r>
        </a:p>
      </xdr:txBody>
    </xdr:sp>
    <xdr:clientData/>
  </xdr:twoCellAnchor>
  <xdr:twoCellAnchor>
    <xdr:from>
      <xdr:col>20</xdr:col>
      <xdr:colOff>421721</xdr:colOff>
      <xdr:row>26</xdr:row>
      <xdr:rowOff>7109</xdr:rowOff>
    </xdr:from>
    <xdr:to>
      <xdr:col>24</xdr:col>
      <xdr:colOff>64966</xdr:colOff>
      <xdr:row>26</xdr:row>
      <xdr:rowOff>244423</xdr:rowOff>
    </xdr:to>
    <xdr:sp macro="" textlink="">
      <xdr:nvSpPr>
        <xdr:cNvPr id="1190" name="Text Box 166">
          <a:extLst>
            <a:ext uri="{FF2B5EF4-FFF2-40B4-BE49-F238E27FC236}">
              <a16:creationId xmlns:a16="http://schemas.microsoft.com/office/drawing/2014/main" id="{00000000-0008-0000-0100-0000A6040000}"/>
            </a:ext>
          </a:extLst>
        </xdr:cNvPr>
        <xdr:cNvSpPr txBox="1">
          <a:spLocks noChangeArrowheads="1"/>
        </xdr:cNvSpPr>
      </xdr:nvSpPr>
      <xdr:spPr bwMode="auto">
        <a:xfrm>
          <a:off x="7696084" y="6786281"/>
          <a:ext cx="2523394" cy="176822"/>
        </a:xfrm>
        <a:prstGeom prst="rect">
          <a:avLst/>
        </a:prstGeom>
        <a:noFill/>
        <a:ln w="9525">
          <a:noFill/>
          <a:miter lim="800000"/>
          <a:headEnd/>
          <a:tailEnd/>
        </a:ln>
      </xdr:spPr>
      <xdr:txBody>
        <a:bodyPr vertOverflow="clip" wrap="square" lIns="27432" tIns="22860" rIns="0" bIns="0" anchor="t" upright="1"/>
        <a:lstStyle/>
        <a:p>
          <a:pPr algn="l" rtl="1">
            <a:defRPr sz="1000"/>
          </a:pPr>
          <a:r>
            <a:rPr lang="hu-HU" sz="800" b="1" i="0" strike="noStrike">
              <a:solidFill>
                <a:schemeClr val="tx2"/>
              </a:solidFill>
              <a:latin typeface="Arial"/>
              <a:cs typeface="Arial"/>
            </a:rPr>
            <a:t>Szükségkioldó</a:t>
          </a:r>
          <a:r>
            <a:rPr lang="hu-HU" sz="800" b="1" i="0" strike="noStrike">
              <a:solidFill>
                <a:srgbClr val="3366FF"/>
              </a:solidFill>
              <a:latin typeface="Arial"/>
              <a:cs typeface="Arial"/>
            </a:rPr>
            <a:t> </a:t>
          </a:r>
          <a:r>
            <a:rPr lang="hu-HU" sz="800" b="0" i="0" strike="noStrike">
              <a:solidFill>
                <a:srgbClr val="333333"/>
              </a:solidFill>
              <a:latin typeface="Arial"/>
              <a:cs typeface="Arial"/>
            </a:rPr>
            <a:t>csak motoros kapuhoz kell</a:t>
          </a:r>
        </a:p>
      </xdr:txBody>
    </xdr:sp>
    <xdr:clientData/>
  </xdr:twoCellAnchor>
  <xdr:twoCellAnchor>
    <xdr:from>
      <xdr:col>20</xdr:col>
      <xdr:colOff>445811</xdr:colOff>
      <xdr:row>28</xdr:row>
      <xdr:rowOff>193521</xdr:rowOff>
    </xdr:from>
    <xdr:to>
      <xdr:col>23</xdr:col>
      <xdr:colOff>347388</xdr:colOff>
      <xdr:row>29</xdr:row>
      <xdr:rowOff>1300</xdr:rowOff>
    </xdr:to>
    <xdr:sp macro="" textlink="">
      <xdr:nvSpPr>
        <xdr:cNvPr id="1194" name="Text Box 170">
          <a:extLst>
            <a:ext uri="{FF2B5EF4-FFF2-40B4-BE49-F238E27FC236}">
              <a16:creationId xmlns:a16="http://schemas.microsoft.com/office/drawing/2014/main" id="{00000000-0008-0000-0100-0000AA040000}"/>
            </a:ext>
          </a:extLst>
        </xdr:cNvPr>
        <xdr:cNvSpPr txBox="1">
          <a:spLocks noChangeArrowheads="1"/>
        </xdr:cNvSpPr>
      </xdr:nvSpPr>
      <xdr:spPr bwMode="auto">
        <a:xfrm>
          <a:off x="7521368" y="7428793"/>
          <a:ext cx="2231341" cy="235581"/>
        </a:xfrm>
        <a:prstGeom prst="rect">
          <a:avLst/>
        </a:prstGeom>
        <a:noFill/>
        <a:ln w="9525">
          <a:noFill/>
          <a:miter lim="800000"/>
          <a:headEnd/>
          <a:tailEnd/>
        </a:ln>
      </xdr:spPr>
      <xdr:txBody>
        <a:bodyPr vertOverflow="clip" wrap="square" lIns="27432" tIns="22860" rIns="0" bIns="0" anchor="t" upright="1"/>
        <a:lstStyle/>
        <a:p>
          <a:pPr algn="l" rtl="0">
            <a:defRPr sz="1000"/>
          </a:pPr>
          <a:r>
            <a:rPr lang="hu-HU" sz="800" b="1" i="0" u="none" strike="noStrike" baseline="0">
              <a:solidFill>
                <a:schemeClr val="tx2"/>
              </a:solidFill>
              <a:latin typeface="Arial"/>
              <a:cs typeface="Arial"/>
            </a:rPr>
            <a:t>Szolgáltatások</a:t>
          </a:r>
        </a:p>
      </xdr:txBody>
    </xdr:sp>
    <xdr:clientData/>
  </xdr:twoCellAnchor>
  <xdr:twoCellAnchor>
    <xdr:from>
      <xdr:col>21</xdr:col>
      <xdr:colOff>190500</xdr:colOff>
      <xdr:row>11</xdr:row>
      <xdr:rowOff>571500</xdr:rowOff>
    </xdr:from>
    <xdr:to>
      <xdr:col>23</xdr:col>
      <xdr:colOff>319088</xdr:colOff>
      <xdr:row>12</xdr:row>
      <xdr:rowOff>71438</xdr:rowOff>
    </xdr:to>
    <xdr:sp macro="" textlink="">
      <xdr:nvSpPr>
        <xdr:cNvPr id="38457" name="Text Box 188">
          <a:extLst>
            <a:ext uri="{FF2B5EF4-FFF2-40B4-BE49-F238E27FC236}">
              <a16:creationId xmlns:a16="http://schemas.microsoft.com/office/drawing/2014/main" id="{00000000-0008-0000-0100-000039960000}"/>
            </a:ext>
          </a:extLst>
        </xdr:cNvPr>
        <xdr:cNvSpPr txBox="1">
          <a:spLocks noChangeArrowheads="1"/>
        </xdr:cNvSpPr>
      </xdr:nvSpPr>
      <xdr:spPr bwMode="auto">
        <a:xfrm>
          <a:off x="8372475" y="2457450"/>
          <a:ext cx="1571625" cy="714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12</xdr:col>
      <xdr:colOff>766763</xdr:colOff>
      <xdr:row>30</xdr:row>
      <xdr:rowOff>266700</xdr:rowOff>
    </xdr:from>
    <xdr:to>
      <xdr:col>15</xdr:col>
      <xdr:colOff>290513</xdr:colOff>
      <xdr:row>32</xdr:row>
      <xdr:rowOff>366713</xdr:rowOff>
    </xdr:to>
    <xdr:grpSp>
      <xdr:nvGrpSpPr>
        <xdr:cNvPr id="38458" name="Group 31">
          <a:extLst>
            <a:ext uri="{FF2B5EF4-FFF2-40B4-BE49-F238E27FC236}">
              <a16:creationId xmlns:a16="http://schemas.microsoft.com/office/drawing/2014/main" id="{00000000-0008-0000-0100-00003A960000}"/>
            </a:ext>
          </a:extLst>
        </xdr:cNvPr>
        <xdr:cNvGrpSpPr>
          <a:grpSpLocks/>
        </xdr:cNvGrpSpPr>
      </xdr:nvGrpSpPr>
      <xdr:grpSpPr bwMode="auto">
        <a:xfrm>
          <a:off x="5006209" y="8272079"/>
          <a:ext cx="1476265" cy="573252"/>
          <a:chOff x="117" y="563"/>
          <a:chExt cx="476" cy="292"/>
        </a:xfrm>
      </xdr:grpSpPr>
      <xdr:pic>
        <xdr:nvPicPr>
          <xdr:cNvPr id="38467" name="Picture 32" descr="kupon minta">
            <a:extLst>
              <a:ext uri="{FF2B5EF4-FFF2-40B4-BE49-F238E27FC236}">
                <a16:creationId xmlns:a16="http://schemas.microsoft.com/office/drawing/2014/main" id="{00000000-0008-0000-0100-0000439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17" y="563"/>
            <a:ext cx="332" cy="148"/>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pic>
        <xdr:nvPicPr>
          <xdr:cNvPr id="38468" name="Picture 33" descr="kupon minta">
            <a:extLst>
              <a:ext uri="{FF2B5EF4-FFF2-40B4-BE49-F238E27FC236}">
                <a16:creationId xmlns:a16="http://schemas.microsoft.com/office/drawing/2014/main" id="{00000000-0008-0000-0100-0000449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33" y="579"/>
            <a:ext cx="332" cy="148"/>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pic>
        <xdr:nvPicPr>
          <xdr:cNvPr id="38469" name="Picture 34" descr="kupon minta">
            <a:extLst>
              <a:ext uri="{FF2B5EF4-FFF2-40B4-BE49-F238E27FC236}">
                <a16:creationId xmlns:a16="http://schemas.microsoft.com/office/drawing/2014/main" id="{00000000-0008-0000-0100-0000459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49" y="595"/>
            <a:ext cx="332" cy="148"/>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pic>
        <xdr:nvPicPr>
          <xdr:cNvPr id="38470" name="Picture 35" descr="kupon minta">
            <a:extLst>
              <a:ext uri="{FF2B5EF4-FFF2-40B4-BE49-F238E27FC236}">
                <a16:creationId xmlns:a16="http://schemas.microsoft.com/office/drawing/2014/main" id="{00000000-0008-0000-0100-0000469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65" y="611"/>
            <a:ext cx="332" cy="148"/>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pic>
        <xdr:nvPicPr>
          <xdr:cNvPr id="38471" name="Picture 36" descr="kupon minta">
            <a:extLst>
              <a:ext uri="{FF2B5EF4-FFF2-40B4-BE49-F238E27FC236}">
                <a16:creationId xmlns:a16="http://schemas.microsoft.com/office/drawing/2014/main" id="{00000000-0008-0000-0100-0000479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81" y="627"/>
            <a:ext cx="332" cy="148"/>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pic>
        <xdr:nvPicPr>
          <xdr:cNvPr id="38472" name="Picture 37" descr="kupon minta">
            <a:extLst>
              <a:ext uri="{FF2B5EF4-FFF2-40B4-BE49-F238E27FC236}">
                <a16:creationId xmlns:a16="http://schemas.microsoft.com/office/drawing/2014/main" id="{00000000-0008-0000-0100-0000489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97" y="643"/>
            <a:ext cx="332" cy="148"/>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pic>
        <xdr:nvPicPr>
          <xdr:cNvPr id="38473" name="Picture 38" descr="kupon minta">
            <a:extLst>
              <a:ext uri="{FF2B5EF4-FFF2-40B4-BE49-F238E27FC236}">
                <a16:creationId xmlns:a16="http://schemas.microsoft.com/office/drawing/2014/main" id="{00000000-0008-0000-0100-0000499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13" y="659"/>
            <a:ext cx="332" cy="148"/>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pic>
        <xdr:nvPicPr>
          <xdr:cNvPr id="38474" name="Picture 39" descr="kupon minta">
            <a:extLst>
              <a:ext uri="{FF2B5EF4-FFF2-40B4-BE49-F238E27FC236}">
                <a16:creationId xmlns:a16="http://schemas.microsoft.com/office/drawing/2014/main" id="{00000000-0008-0000-0100-00004A9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29" y="675"/>
            <a:ext cx="332" cy="148"/>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pic>
        <xdr:nvPicPr>
          <xdr:cNvPr id="38475" name="Picture 40" descr="kupon minta">
            <a:extLst>
              <a:ext uri="{FF2B5EF4-FFF2-40B4-BE49-F238E27FC236}">
                <a16:creationId xmlns:a16="http://schemas.microsoft.com/office/drawing/2014/main" id="{00000000-0008-0000-0100-00004B9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45" y="691"/>
            <a:ext cx="332" cy="148"/>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pic>
        <xdr:nvPicPr>
          <xdr:cNvPr id="38476" name="Picture 41" descr="kupon minta">
            <a:extLst>
              <a:ext uri="{FF2B5EF4-FFF2-40B4-BE49-F238E27FC236}">
                <a16:creationId xmlns:a16="http://schemas.microsoft.com/office/drawing/2014/main" id="{00000000-0008-0000-0100-00004C9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61" y="707"/>
            <a:ext cx="332" cy="148"/>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twoCellAnchor>
    <xdr:from>
      <xdr:col>20</xdr:col>
      <xdr:colOff>307041</xdr:colOff>
      <xdr:row>3</xdr:row>
      <xdr:rowOff>2347</xdr:rowOff>
    </xdr:from>
    <xdr:to>
      <xdr:col>24</xdr:col>
      <xdr:colOff>749</xdr:colOff>
      <xdr:row>4</xdr:row>
      <xdr:rowOff>2525</xdr:rowOff>
    </xdr:to>
    <xdr:sp macro="" textlink="">
      <xdr:nvSpPr>
        <xdr:cNvPr id="33" name="Szövegdoboz 32">
          <a:extLst>
            <a:ext uri="{FF2B5EF4-FFF2-40B4-BE49-F238E27FC236}">
              <a16:creationId xmlns:a16="http://schemas.microsoft.com/office/drawing/2014/main" id="{00000000-0008-0000-0100-000021000000}"/>
            </a:ext>
          </a:extLst>
        </xdr:cNvPr>
        <xdr:cNvSpPr txBox="1"/>
      </xdr:nvSpPr>
      <xdr:spPr>
        <a:xfrm>
          <a:off x="7471498" y="405157"/>
          <a:ext cx="2667121" cy="187050"/>
        </a:xfrm>
        <a:prstGeom prst="rect">
          <a:avLst/>
        </a:prstGeom>
        <a:solidFill>
          <a:schemeClr val="bg1">
            <a:lumMod val="7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hu-HU" sz="700">
              <a:solidFill>
                <a:schemeClr val="tx2"/>
              </a:solidFill>
            </a:rPr>
            <a:t>Bővebb információ</a:t>
          </a:r>
          <a:r>
            <a:rPr lang="hu-HU" sz="700" baseline="0">
              <a:solidFill>
                <a:schemeClr val="tx2"/>
              </a:solidFill>
            </a:rPr>
            <a:t> és segítség a "Kérdések és javaslatok" oldalon</a:t>
          </a:r>
          <a:endParaRPr lang="hu-HU" sz="700">
            <a:solidFill>
              <a:schemeClr val="tx2"/>
            </a:solidFill>
          </a:endParaRPr>
        </a:p>
      </xdr:txBody>
    </xdr:sp>
    <xdr:clientData/>
  </xdr:twoCellAnchor>
  <xdr:twoCellAnchor>
    <xdr:from>
      <xdr:col>20</xdr:col>
      <xdr:colOff>717074</xdr:colOff>
      <xdr:row>32</xdr:row>
      <xdr:rowOff>19748</xdr:rowOff>
    </xdr:from>
    <xdr:to>
      <xdr:col>22</xdr:col>
      <xdr:colOff>105104</xdr:colOff>
      <xdr:row>32</xdr:row>
      <xdr:rowOff>236483</xdr:rowOff>
    </xdr:to>
    <xdr:sp macro="" textlink="">
      <xdr:nvSpPr>
        <xdr:cNvPr id="34" name="Text Box 159">
          <a:extLst>
            <a:ext uri="{FF2B5EF4-FFF2-40B4-BE49-F238E27FC236}">
              <a16:creationId xmlns:a16="http://schemas.microsoft.com/office/drawing/2014/main" id="{00000000-0008-0000-0100-000022000000}"/>
            </a:ext>
          </a:extLst>
        </xdr:cNvPr>
        <xdr:cNvSpPr txBox="1">
          <a:spLocks noChangeArrowheads="1"/>
        </xdr:cNvSpPr>
      </xdr:nvSpPr>
      <xdr:spPr bwMode="auto">
        <a:xfrm>
          <a:off x="8096212" y="8585679"/>
          <a:ext cx="1003995" cy="216735"/>
        </a:xfrm>
        <a:prstGeom prst="rect">
          <a:avLst/>
        </a:prstGeom>
        <a:noFill/>
        <a:ln w="9525">
          <a:noFill/>
          <a:miter lim="800000"/>
          <a:headEnd/>
          <a:tailEnd/>
        </a:ln>
      </xdr:spPr>
      <xdr:txBody>
        <a:bodyPr vertOverflow="clip" wrap="square" lIns="27432" tIns="22860" rIns="0" bIns="0" anchor="t" upright="1"/>
        <a:lstStyle/>
        <a:p>
          <a:pPr algn="l" rtl="0">
            <a:defRPr sz="1000"/>
          </a:pPr>
          <a:r>
            <a:rPr lang="hu-HU" sz="800" b="0" i="0" u="none" strike="noStrike" baseline="0">
              <a:solidFill>
                <a:srgbClr val="000000"/>
              </a:solidFill>
              <a:latin typeface="Arial"/>
              <a:cs typeface="Arial"/>
            </a:rPr>
            <a:t>Székesfehérvártól?)</a:t>
          </a:r>
          <a:endParaRPr lang="hu-HU" sz="800" b="0" i="0" u="none" strike="noStrike" baseline="0">
            <a:solidFill>
              <a:srgbClr val="333333"/>
            </a:solidFill>
            <a:latin typeface="Arial"/>
            <a:cs typeface="Arial"/>
          </a:endParaRPr>
        </a:p>
      </xdr:txBody>
    </xdr:sp>
    <xdr:clientData/>
  </xdr:twoCellAnchor>
  <xdr:twoCellAnchor>
    <xdr:from>
      <xdr:col>20</xdr:col>
      <xdr:colOff>674155</xdr:colOff>
      <xdr:row>9</xdr:row>
      <xdr:rowOff>136249</xdr:rowOff>
    </xdr:from>
    <xdr:to>
      <xdr:col>23</xdr:col>
      <xdr:colOff>360082</xdr:colOff>
      <xdr:row>10</xdr:row>
      <xdr:rowOff>119827</xdr:rowOff>
    </xdr:to>
    <xdr:sp macro="" textlink="">
      <xdr:nvSpPr>
        <xdr:cNvPr id="28" name="Text Box 159">
          <a:extLst>
            <a:ext uri="{FF2B5EF4-FFF2-40B4-BE49-F238E27FC236}">
              <a16:creationId xmlns:a16="http://schemas.microsoft.com/office/drawing/2014/main" id="{00000000-0008-0000-0100-00001C000000}"/>
            </a:ext>
          </a:extLst>
        </xdr:cNvPr>
        <xdr:cNvSpPr txBox="1">
          <a:spLocks noChangeArrowheads="1"/>
        </xdr:cNvSpPr>
      </xdr:nvSpPr>
      <xdr:spPr bwMode="auto">
        <a:xfrm>
          <a:off x="8053293" y="1686525"/>
          <a:ext cx="1963168" cy="136854"/>
        </a:xfrm>
        <a:prstGeom prst="rect">
          <a:avLst/>
        </a:prstGeom>
        <a:noFill/>
        <a:ln w="9525">
          <a:noFill/>
          <a:miter lim="800000"/>
          <a:headEnd/>
          <a:tailEnd/>
        </a:ln>
      </xdr:spPr>
      <xdr:txBody>
        <a:bodyPr vertOverflow="clip" wrap="square" lIns="27432" tIns="22860" rIns="0" bIns="0" anchor="t" upright="1"/>
        <a:lstStyle/>
        <a:p>
          <a:pPr algn="l" rtl="0">
            <a:defRPr sz="1000"/>
          </a:pPr>
          <a:r>
            <a:rPr lang="hu-HU" sz="800" b="0" i="0" u="none" strike="noStrike" baseline="0">
              <a:solidFill>
                <a:srgbClr val="000000"/>
              </a:solidFill>
              <a:latin typeface="Arial"/>
              <a:cs typeface="Arial"/>
            </a:rPr>
            <a:t>a</a:t>
          </a:r>
          <a:r>
            <a:rPr lang="hu-HU" sz="800" b="1" i="0" u="none" strike="noStrike" baseline="0">
              <a:solidFill>
                <a:srgbClr val="000000"/>
              </a:solidFill>
              <a:latin typeface="Arial"/>
              <a:cs typeface="Arial"/>
            </a:rPr>
            <a:t> </a:t>
          </a:r>
          <a:r>
            <a:rPr lang="hu-HU" sz="800" b="0" i="0" u="none" strike="noStrike" baseline="0">
              <a:solidFill>
                <a:srgbClr val="000000"/>
              </a:solidFill>
              <a:latin typeface="Arial"/>
              <a:cs typeface="Arial"/>
            </a:rPr>
            <a:t>csillaggal jelölt méretekben érhető el.</a:t>
          </a:r>
          <a:endParaRPr lang="hu-HU" sz="800" b="0" i="0" u="none" strike="noStrike" baseline="0">
            <a:solidFill>
              <a:srgbClr val="333333"/>
            </a:solidFill>
            <a:latin typeface="Arial"/>
            <a:cs typeface="Arial"/>
          </a:endParaRPr>
        </a:p>
      </xdr:txBody>
    </xdr:sp>
    <xdr:clientData/>
  </xdr:twoCellAnchor>
  <xdr:twoCellAnchor>
    <xdr:from>
      <xdr:col>20</xdr:col>
      <xdr:colOff>2209</xdr:colOff>
      <xdr:row>11</xdr:row>
      <xdr:rowOff>584</xdr:rowOff>
    </xdr:from>
    <xdr:to>
      <xdr:col>20</xdr:col>
      <xdr:colOff>271521</xdr:colOff>
      <xdr:row>17</xdr:row>
      <xdr:rowOff>102707</xdr:rowOff>
    </xdr:to>
    <xdr:sp macro="" textlink="">
      <xdr:nvSpPr>
        <xdr:cNvPr id="29" name="Text Box 159">
          <a:extLst>
            <a:ext uri="{FF2B5EF4-FFF2-40B4-BE49-F238E27FC236}">
              <a16:creationId xmlns:a16="http://schemas.microsoft.com/office/drawing/2014/main" id="{00000000-0008-0000-0100-00001D000000}"/>
            </a:ext>
          </a:extLst>
        </xdr:cNvPr>
        <xdr:cNvSpPr txBox="1">
          <a:spLocks noChangeArrowheads="1"/>
        </xdr:cNvSpPr>
      </xdr:nvSpPr>
      <xdr:spPr bwMode="auto">
        <a:xfrm rot="16200000">
          <a:off x="6488355" y="2960610"/>
          <a:ext cx="2055296" cy="269312"/>
        </a:xfrm>
        <a:prstGeom prst="rect">
          <a:avLst/>
        </a:prstGeom>
        <a:noFill/>
        <a:ln w="9525">
          <a:noFill/>
          <a:miter lim="800000"/>
          <a:headEnd/>
          <a:tailEnd/>
        </a:ln>
      </xdr:spPr>
      <xdr:txBody>
        <a:bodyPr vertOverflow="clip" vert="vert270" wrap="square" lIns="27432" tIns="22860" rIns="0" bIns="0" anchor="t" upright="1"/>
        <a:lstStyle/>
        <a:p>
          <a:pPr algn="ctr" rtl="0">
            <a:defRPr sz="1000"/>
          </a:pPr>
          <a:r>
            <a:rPr lang="hu-HU" sz="800" b="0" i="0" u="none" strike="noStrike" baseline="0">
              <a:solidFill>
                <a:srgbClr val="000000"/>
              </a:solidFill>
              <a:latin typeface="Arial"/>
              <a:cs typeface="Arial"/>
            </a:rPr>
            <a:t>        akciós kínálat              teljes kínálat</a:t>
          </a:r>
          <a:endParaRPr lang="hu-HU" sz="800" b="0" i="0" u="none" strike="noStrike" baseline="0">
            <a:solidFill>
              <a:srgbClr val="333333"/>
            </a:solidFill>
            <a:latin typeface="Arial"/>
            <a:cs typeface="Arial"/>
          </a:endParaRPr>
        </a:p>
      </xdr:txBody>
    </xdr:sp>
    <xdr:clientData/>
  </xdr:twoCellAnchor>
  <xdr:twoCellAnchor>
    <xdr:from>
      <xdr:col>20</xdr:col>
      <xdr:colOff>508000</xdr:colOff>
      <xdr:row>16</xdr:row>
      <xdr:rowOff>166414</xdr:rowOff>
    </xdr:from>
    <xdr:to>
      <xdr:col>23</xdr:col>
      <xdr:colOff>471377</xdr:colOff>
      <xdr:row>17</xdr:row>
      <xdr:rowOff>471</xdr:rowOff>
    </xdr:to>
    <xdr:sp macro="" textlink="">
      <xdr:nvSpPr>
        <xdr:cNvPr id="30" name="Text Box 159">
          <a:extLst>
            <a:ext uri="{FF2B5EF4-FFF2-40B4-BE49-F238E27FC236}">
              <a16:creationId xmlns:a16="http://schemas.microsoft.com/office/drawing/2014/main" id="{00000000-0008-0000-0100-00001E000000}"/>
            </a:ext>
          </a:extLst>
        </xdr:cNvPr>
        <xdr:cNvSpPr txBox="1">
          <a:spLocks noChangeArrowheads="1"/>
        </xdr:cNvSpPr>
      </xdr:nvSpPr>
      <xdr:spPr bwMode="auto">
        <a:xfrm>
          <a:off x="7887138" y="3880069"/>
          <a:ext cx="2240618" cy="140609"/>
        </a:xfrm>
        <a:prstGeom prst="rect">
          <a:avLst/>
        </a:prstGeom>
        <a:noFill/>
        <a:ln w="9525">
          <a:noFill/>
          <a:miter lim="800000"/>
          <a:headEnd/>
          <a:tailEnd/>
        </a:ln>
      </xdr:spPr>
      <xdr:txBody>
        <a:bodyPr vertOverflow="clip" wrap="square" lIns="27432" tIns="22860" rIns="0" bIns="0" anchor="t" upright="1"/>
        <a:lstStyle/>
        <a:p>
          <a:pPr algn="l" rtl="0">
            <a:defRPr sz="1000"/>
          </a:pPr>
          <a:r>
            <a:rPr lang="hu-HU" sz="800" b="0" i="0" u="none" strike="noStrike" baseline="0">
              <a:solidFill>
                <a:srgbClr val="000000"/>
              </a:solidFill>
              <a:latin typeface="Arial"/>
              <a:cs typeface="Arial"/>
            </a:rPr>
            <a:t>!!!  Nem rendelhető átjáróajtóval, sem ablakkal.</a:t>
          </a:r>
          <a:endParaRPr lang="hu-HU" sz="800" b="0" i="0" u="none" strike="noStrike" baseline="0">
            <a:solidFill>
              <a:srgbClr val="333333"/>
            </a:solidFill>
            <a:latin typeface="Arial"/>
            <a:cs typeface="Arial"/>
          </a:endParaRPr>
        </a:p>
      </xdr:txBody>
    </xdr:sp>
    <xdr:clientData/>
  </xdr:twoCellAnchor>
  <xdr:twoCellAnchor>
    <xdr:from>
      <xdr:col>20</xdr:col>
      <xdr:colOff>780</xdr:colOff>
      <xdr:row>19</xdr:row>
      <xdr:rowOff>302522</xdr:rowOff>
    </xdr:from>
    <xdr:to>
      <xdr:col>20</xdr:col>
      <xdr:colOff>345304</xdr:colOff>
      <xdr:row>24</xdr:row>
      <xdr:rowOff>4379</xdr:rowOff>
    </xdr:to>
    <xdr:sp macro="" textlink="">
      <xdr:nvSpPr>
        <xdr:cNvPr id="31" name="Text Box 159">
          <a:extLst>
            <a:ext uri="{FF2B5EF4-FFF2-40B4-BE49-F238E27FC236}">
              <a16:creationId xmlns:a16="http://schemas.microsoft.com/office/drawing/2014/main" id="{00000000-0008-0000-0100-00001F000000}"/>
            </a:ext>
          </a:extLst>
        </xdr:cNvPr>
        <xdr:cNvSpPr txBox="1">
          <a:spLocks noChangeArrowheads="1"/>
        </xdr:cNvSpPr>
      </xdr:nvSpPr>
      <xdr:spPr bwMode="auto">
        <a:xfrm rot="16200000">
          <a:off x="6892397" y="5423353"/>
          <a:ext cx="1234616" cy="259573"/>
        </a:xfrm>
        <a:prstGeom prst="rect">
          <a:avLst/>
        </a:prstGeom>
        <a:noFill/>
        <a:ln w="9525">
          <a:noFill/>
          <a:miter lim="800000"/>
          <a:headEnd/>
          <a:tailEnd/>
        </a:ln>
      </xdr:spPr>
      <xdr:txBody>
        <a:bodyPr vertOverflow="clip" vert="vert270" wrap="square" lIns="27432" tIns="22860" rIns="0" bIns="0" anchor="t" upright="1"/>
        <a:lstStyle/>
        <a:p>
          <a:pPr algn="ctr" rtl="0">
            <a:defRPr sz="1000"/>
          </a:pPr>
          <a:r>
            <a:rPr lang="hu-HU" sz="800" b="0" i="0" u="none" strike="noStrike" baseline="0">
              <a:solidFill>
                <a:srgbClr val="000000"/>
              </a:solidFill>
              <a:latin typeface="Arial"/>
              <a:cs typeface="Arial"/>
            </a:rPr>
            <a:t>teljes kínálat</a:t>
          </a:r>
          <a:endParaRPr lang="hu-HU" sz="800" b="0" i="0" u="none" strike="noStrike" baseline="0">
            <a:solidFill>
              <a:srgbClr val="333333"/>
            </a:solidFill>
            <a:latin typeface="Arial"/>
            <a:cs typeface="Arial"/>
          </a:endParaRPr>
        </a:p>
      </xdr:txBody>
    </xdr:sp>
    <xdr:clientData/>
  </xdr:twoCellAnchor>
  <xdr:twoCellAnchor>
    <xdr:from>
      <xdr:col>20</xdr:col>
      <xdr:colOff>571910</xdr:colOff>
      <xdr:row>11</xdr:row>
      <xdr:rowOff>2432</xdr:rowOff>
    </xdr:from>
    <xdr:to>
      <xdr:col>23</xdr:col>
      <xdr:colOff>512560</xdr:colOff>
      <xdr:row>11</xdr:row>
      <xdr:rowOff>6348</xdr:rowOff>
    </xdr:to>
    <xdr:sp macro="" textlink="">
      <xdr:nvSpPr>
        <xdr:cNvPr id="32" name="Text Box 159">
          <a:extLst>
            <a:ext uri="{FF2B5EF4-FFF2-40B4-BE49-F238E27FC236}">
              <a16:creationId xmlns:a16="http://schemas.microsoft.com/office/drawing/2014/main" id="{00000000-0008-0000-0100-000020000000}"/>
            </a:ext>
          </a:extLst>
        </xdr:cNvPr>
        <xdr:cNvSpPr txBox="1">
          <a:spLocks noChangeArrowheads="1"/>
        </xdr:cNvSpPr>
      </xdr:nvSpPr>
      <xdr:spPr bwMode="auto">
        <a:xfrm>
          <a:off x="7572854" y="1853629"/>
          <a:ext cx="2403667" cy="167327"/>
        </a:xfrm>
        <a:prstGeom prst="rect">
          <a:avLst/>
        </a:prstGeom>
        <a:noFill/>
        <a:ln w="9525">
          <a:noFill/>
          <a:miter lim="800000"/>
          <a:headEnd/>
          <a:tailEnd/>
        </a:ln>
      </xdr:spPr>
      <xdr:txBody>
        <a:bodyPr vertOverflow="clip" wrap="square" lIns="27432" tIns="22860" rIns="0" bIns="0" anchor="t" upright="1"/>
        <a:lstStyle/>
        <a:p>
          <a:pPr algn="l" rtl="0">
            <a:defRPr sz="1000"/>
          </a:pPr>
          <a:r>
            <a:rPr lang="hu-HU" sz="100" b="0" i="0" u="none" strike="noStrike" baseline="0">
              <a:solidFill>
                <a:srgbClr val="000000"/>
              </a:solidFill>
              <a:latin typeface="Arial"/>
              <a:cs typeface="Arial"/>
            </a:rPr>
            <a:t>*</a:t>
          </a:r>
        </a:p>
        <a:p>
          <a:pPr algn="l" rtl="0">
            <a:defRPr sz="1000"/>
          </a:pPr>
          <a:r>
            <a:rPr lang="hu-HU" sz="800" b="0" i="0" u="none" strike="noStrike" baseline="0">
              <a:solidFill>
                <a:srgbClr val="333333"/>
              </a:solidFill>
              <a:latin typeface="Arial"/>
              <a:cs typeface="Arial"/>
            </a:rPr>
            <a:t>* akciós kínálatban is elérhető méret</a:t>
          </a:r>
        </a:p>
        <a:p>
          <a:pPr algn="l" rtl="0">
            <a:defRPr sz="1000"/>
          </a:pPr>
          <a:r>
            <a:rPr lang="hu-HU" sz="800" b="0" i="0" u="none" strike="noStrike" baseline="0">
              <a:solidFill>
                <a:srgbClr val="333333"/>
              </a:solidFill>
              <a:latin typeface="Arial"/>
              <a:cs typeface="Arial"/>
            </a:rPr>
            <a:t>** akciósban csak Supramatic motorral rendelhető</a:t>
          </a:r>
        </a:p>
      </xdr:txBody>
    </xdr:sp>
    <xdr:clientData/>
  </xdr:twoCellAnchor>
  <mc:AlternateContent xmlns:mc="http://schemas.openxmlformats.org/markup-compatibility/2006">
    <mc:Choice xmlns:a14="http://schemas.microsoft.com/office/drawing/2010/main" Requires="a14">
      <xdr:twoCellAnchor editAs="oneCell">
        <xdr:from>
          <xdr:col>20</xdr:col>
          <xdr:colOff>381000</xdr:colOff>
          <xdr:row>3</xdr:row>
          <xdr:rowOff>166688</xdr:rowOff>
        </xdr:from>
        <xdr:to>
          <xdr:col>24</xdr:col>
          <xdr:colOff>0</xdr:colOff>
          <xdr:row>10</xdr:row>
          <xdr:rowOff>357188</xdr:rowOff>
        </xdr:to>
        <xdr:sp macro="" textlink="">
          <xdr:nvSpPr>
            <xdr:cNvPr id="1026" name="Group Box 2" hidden="1">
              <a:extLst>
                <a:ext uri="{63B3BB69-23CF-44E3-9099-C40C66FF867C}">
                  <a14:compatExt spid="_x0000_s1026"/>
                </a:ext>
                <a:ext uri="{FF2B5EF4-FFF2-40B4-BE49-F238E27FC236}">
                  <a16:creationId xmlns:a16="http://schemas.microsoft.com/office/drawing/2014/main" id="{00000000-0008-0000-0100-0000020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1490663</xdr:colOff>
          <xdr:row>5</xdr:row>
          <xdr:rowOff>214313</xdr:rowOff>
        </xdr:from>
        <xdr:to>
          <xdr:col>23</xdr:col>
          <xdr:colOff>814388</xdr:colOff>
          <xdr:row>6</xdr:row>
          <xdr:rowOff>419100</xdr:rowOff>
        </xdr:to>
        <xdr:sp macro="" textlink="">
          <xdr:nvSpPr>
            <xdr:cNvPr id="1028" name="Drop Down 4" hidden="1">
              <a:extLst>
                <a:ext uri="{63B3BB69-23CF-44E3-9099-C40C66FF867C}">
                  <a14:compatExt spid="_x0000_s1028"/>
                </a:ext>
                <a:ext uri="{FF2B5EF4-FFF2-40B4-BE49-F238E27FC236}">
                  <a16:creationId xmlns:a16="http://schemas.microsoft.com/office/drawing/2014/main" id="{00000000-0008-0000-0100-000004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481013</xdr:colOff>
          <xdr:row>17</xdr:row>
          <xdr:rowOff>252413</xdr:rowOff>
        </xdr:from>
        <xdr:to>
          <xdr:col>23</xdr:col>
          <xdr:colOff>609600</xdr:colOff>
          <xdr:row>18</xdr:row>
          <xdr:rowOff>90488</xdr:rowOff>
        </xdr:to>
        <xdr:sp macro="" textlink="">
          <xdr:nvSpPr>
            <xdr:cNvPr id="1036" name="Check Box 12" hidden="1">
              <a:extLst>
                <a:ext uri="{63B3BB69-23CF-44E3-9099-C40C66FF867C}">
                  <a14:compatExt spid="_x0000_s1036"/>
                </a:ext>
                <a:ext uri="{FF2B5EF4-FFF2-40B4-BE49-F238E27FC236}">
                  <a16:creationId xmlns:a16="http://schemas.microsoft.com/office/drawing/2014/main" id="{00000000-0008-0000-0100-00000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hu-HU" sz="800" b="0" i="0" u="none" strike="noStrike" baseline="0">
                  <a:solidFill>
                    <a:srgbClr val="000000"/>
                  </a:solidFill>
                  <a:latin typeface="Tahoma"/>
                  <a:ea typeface="Tahoma"/>
                  <a:cs typeface="Tahoma"/>
                </a:rPr>
                <a:t>fekete zárható kilincsgarnitúra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519113</xdr:colOff>
          <xdr:row>28</xdr:row>
          <xdr:rowOff>609600</xdr:rowOff>
        </xdr:from>
        <xdr:to>
          <xdr:col>22</xdr:col>
          <xdr:colOff>1062038</xdr:colOff>
          <xdr:row>29</xdr:row>
          <xdr:rowOff>457200</xdr:rowOff>
        </xdr:to>
        <xdr:sp macro="" textlink="">
          <xdr:nvSpPr>
            <xdr:cNvPr id="1040" name="Check Box 16" hidden="1">
              <a:extLst>
                <a:ext uri="{63B3BB69-23CF-44E3-9099-C40C66FF867C}">
                  <a14:compatExt spid="_x0000_s1040"/>
                </a:ext>
                <a:ext uri="{FF2B5EF4-FFF2-40B4-BE49-F238E27FC236}">
                  <a16:creationId xmlns:a16="http://schemas.microsoft.com/office/drawing/2014/main" id="{00000000-0008-0000-0100-00001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hu-HU" sz="800" b="0" i="0" u="none" strike="noStrike" baseline="0">
                  <a:solidFill>
                    <a:srgbClr val="000000"/>
                  </a:solidFill>
                  <a:latin typeface="Tahoma"/>
                  <a:ea typeface="Tahoma"/>
                  <a:cs typeface="Tahoma"/>
                </a:rPr>
                <a:t>felmérés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528638</xdr:colOff>
          <xdr:row>29</xdr:row>
          <xdr:rowOff>242888</xdr:rowOff>
        </xdr:from>
        <xdr:to>
          <xdr:col>23</xdr:col>
          <xdr:colOff>0</xdr:colOff>
          <xdr:row>30</xdr:row>
          <xdr:rowOff>80963</xdr:rowOff>
        </xdr:to>
        <xdr:sp macro="" textlink="">
          <xdr:nvSpPr>
            <xdr:cNvPr id="1041" name="Check Box 17" hidden="1">
              <a:extLst>
                <a:ext uri="{63B3BB69-23CF-44E3-9099-C40C66FF867C}">
                  <a14:compatExt spid="_x0000_s1041"/>
                </a:ext>
                <a:ext uri="{FF2B5EF4-FFF2-40B4-BE49-F238E27FC236}">
                  <a16:creationId xmlns:a16="http://schemas.microsoft.com/office/drawing/2014/main" id="{00000000-0008-0000-0100-00001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hu-HU" sz="800" b="0" i="0" u="none" strike="noStrike" baseline="0">
                  <a:solidFill>
                    <a:srgbClr val="000000"/>
                  </a:solidFill>
                  <a:latin typeface="Tahoma"/>
                  <a:ea typeface="Tahoma"/>
                  <a:cs typeface="Tahoma"/>
                </a:rPr>
                <a:t>garázskapu és kiegészítők bépítése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528638</xdr:colOff>
          <xdr:row>30</xdr:row>
          <xdr:rowOff>14288</xdr:rowOff>
        </xdr:from>
        <xdr:to>
          <xdr:col>23</xdr:col>
          <xdr:colOff>0</xdr:colOff>
          <xdr:row>31</xdr:row>
          <xdr:rowOff>19050</xdr:rowOff>
        </xdr:to>
        <xdr:sp macro="" textlink="">
          <xdr:nvSpPr>
            <xdr:cNvPr id="1042" name="Check Box 18" hidden="1">
              <a:extLst>
                <a:ext uri="{63B3BB69-23CF-44E3-9099-C40C66FF867C}">
                  <a14:compatExt spid="_x0000_s1042"/>
                </a:ext>
                <a:ext uri="{FF2B5EF4-FFF2-40B4-BE49-F238E27FC236}">
                  <a16:creationId xmlns:a16="http://schemas.microsoft.com/office/drawing/2014/main" id="{00000000-0008-0000-0100-00001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hu-HU" sz="800" b="0" i="0" u="none" strike="noStrike" baseline="0">
                  <a:solidFill>
                    <a:srgbClr val="000000"/>
                  </a:solidFill>
                  <a:latin typeface="Tahoma"/>
                  <a:ea typeface="Tahoma"/>
                  <a:cs typeface="Tahoma"/>
                </a:rPr>
                <a:t>motor telepítése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519113</xdr:colOff>
          <xdr:row>31</xdr:row>
          <xdr:rowOff>138113</xdr:rowOff>
        </xdr:from>
        <xdr:to>
          <xdr:col>24</xdr:col>
          <xdr:colOff>0</xdr:colOff>
          <xdr:row>31</xdr:row>
          <xdr:rowOff>280988</xdr:rowOff>
        </xdr:to>
        <xdr:sp macro="" textlink="">
          <xdr:nvSpPr>
            <xdr:cNvPr id="1043" name="Check Box 19" hidden="1">
              <a:extLst>
                <a:ext uri="{63B3BB69-23CF-44E3-9099-C40C66FF867C}">
                  <a14:compatExt spid="_x0000_s1043"/>
                </a:ext>
                <a:ext uri="{FF2B5EF4-FFF2-40B4-BE49-F238E27FC236}">
                  <a16:creationId xmlns:a16="http://schemas.microsoft.com/office/drawing/2014/main" id="{00000000-0008-0000-0100-00001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hu-HU" sz="800" b="0" i="0" u="none" strike="noStrike" baseline="0">
                  <a:solidFill>
                    <a:srgbClr val="000000"/>
                  </a:solidFill>
                  <a:latin typeface="Tahoma"/>
                  <a:ea typeface="Tahoma"/>
                  <a:cs typeface="Tahoma"/>
                </a:rPr>
                <a:t>kiszállítás (Hány kilóméterre van a helyszín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385763</xdr:colOff>
          <xdr:row>17</xdr:row>
          <xdr:rowOff>0</xdr:rowOff>
        </xdr:from>
        <xdr:to>
          <xdr:col>24</xdr:col>
          <xdr:colOff>0</xdr:colOff>
          <xdr:row>20</xdr:row>
          <xdr:rowOff>400050</xdr:rowOff>
        </xdr:to>
        <xdr:sp macro="" textlink="">
          <xdr:nvSpPr>
            <xdr:cNvPr id="1046" name="Group Box 22" hidden="1">
              <a:extLst>
                <a:ext uri="{63B3BB69-23CF-44E3-9099-C40C66FF867C}">
                  <a14:compatExt spid="_x0000_s1046"/>
                </a:ext>
                <a:ext uri="{FF2B5EF4-FFF2-40B4-BE49-F238E27FC236}">
                  <a16:creationId xmlns:a16="http://schemas.microsoft.com/office/drawing/2014/main" id="{00000000-0008-0000-0100-0000160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419100</xdr:colOff>
          <xdr:row>28</xdr:row>
          <xdr:rowOff>147638</xdr:rowOff>
        </xdr:from>
        <xdr:to>
          <xdr:col>23</xdr:col>
          <xdr:colOff>1347788</xdr:colOff>
          <xdr:row>32</xdr:row>
          <xdr:rowOff>509588</xdr:rowOff>
        </xdr:to>
        <xdr:sp macro="" textlink="">
          <xdr:nvSpPr>
            <xdr:cNvPr id="1047" name="Group Box 23" hidden="1">
              <a:extLst>
                <a:ext uri="{63B3BB69-23CF-44E3-9099-C40C66FF867C}">
                  <a14:compatExt spid="_x0000_s1047"/>
                </a:ext>
                <a:ext uri="{FF2B5EF4-FFF2-40B4-BE49-F238E27FC236}">
                  <a16:creationId xmlns:a16="http://schemas.microsoft.com/office/drawing/2014/main" id="{00000000-0008-0000-0100-0000170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23813</xdr:colOff>
          <xdr:row>23</xdr:row>
          <xdr:rowOff>166688</xdr:rowOff>
        </xdr:from>
        <xdr:to>
          <xdr:col>23</xdr:col>
          <xdr:colOff>461963</xdr:colOff>
          <xdr:row>24</xdr:row>
          <xdr:rowOff>14288</xdr:rowOff>
        </xdr:to>
        <xdr:sp macro="" textlink="">
          <xdr:nvSpPr>
            <xdr:cNvPr id="1050" name="Drop Down 26" hidden="1">
              <a:extLst>
                <a:ext uri="{63B3BB69-23CF-44E3-9099-C40C66FF867C}">
                  <a14:compatExt spid="_x0000_s1050"/>
                </a:ext>
                <a:ext uri="{FF2B5EF4-FFF2-40B4-BE49-F238E27FC236}">
                  <a16:creationId xmlns:a16="http://schemas.microsoft.com/office/drawing/2014/main" id="{00000000-0008-0000-0100-00001A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381000</xdr:colOff>
          <xdr:row>10</xdr:row>
          <xdr:rowOff>481013</xdr:rowOff>
        </xdr:from>
        <xdr:to>
          <xdr:col>24</xdr:col>
          <xdr:colOff>0</xdr:colOff>
          <xdr:row>12</xdr:row>
          <xdr:rowOff>80963</xdr:rowOff>
        </xdr:to>
        <xdr:sp macro="" textlink="">
          <xdr:nvSpPr>
            <xdr:cNvPr id="1071" name="Group Box 47" hidden="1">
              <a:extLst>
                <a:ext uri="{63B3BB69-23CF-44E3-9099-C40C66FF867C}">
                  <a14:compatExt spid="_x0000_s1071"/>
                </a:ext>
                <a:ext uri="{FF2B5EF4-FFF2-40B4-BE49-F238E27FC236}">
                  <a16:creationId xmlns:a16="http://schemas.microsoft.com/office/drawing/2014/main" id="{00000000-0008-0000-0100-00002F0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381000</xdr:colOff>
          <xdr:row>12</xdr:row>
          <xdr:rowOff>71438</xdr:rowOff>
        </xdr:from>
        <xdr:to>
          <xdr:col>24</xdr:col>
          <xdr:colOff>0</xdr:colOff>
          <xdr:row>12</xdr:row>
          <xdr:rowOff>404813</xdr:rowOff>
        </xdr:to>
        <xdr:sp macro="" textlink="">
          <xdr:nvSpPr>
            <xdr:cNvPr id="1072" name="Group Box 48" hidden="1">
              <a:extLst>
                <a:ext uri="{63B3BB69-23CF-44E3-9099-C40C66FF867C}">
                  <a14:compatExt spid="_x0000_s1072"/>
                </a:ext>
                <a:ext uri="{FF2B5EF4-FFF2-40B4-BE49-F238E27FC236}">
                  <a16:creationId xmlns:a16="http://schemas.microsoft.com/office/drawing/2014/main" id="{00000000-0008-0000-0100-0000300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471488</xdr:colOff>
          <xdr:row>11</xdr:row>
          <xdr:rowOff>71438</xdr:rowOff>
        </xdr:from>
        <xdr:to>
          <xdr:col>21</xdr:col>
          <xdr:colOff>342900</xdr:colOff>
          <xdr:row>11</xdr:row>
          <xdr:rowOff>309563</xdr:rowOff>
        </xdr:to>
        <xdr:sp macro="" textlink="">
          <xdr:nvSpPr>
            <xdr:cNvPr id="1074" name="Option Button 50" hidden="1">
              <a:extLst>
                <a:ext uri="{63B3BB69-23CF-44E3-9099-C40C66FF867C}">
                  <a14:compatExt spid="_x0000_s1074"/>
                </a:ext>
                <a:ext uri="{FF2B5EF4-FFF2-40B4-BE49-F238E27FC236}">
                  <a16:creationId xmlns:a16="http://schemas.microsoft.com/office/drawing/2014/main" id="{00000000-0008-0000-0100-00003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hu-HU" sz="800" b="0" i="0" u="none" strike="noStrike" baseline="0">
                  <a:solidFill>
                    <a:srgbClr val="000000"/>
                  </a:solidFill>
                  <a:latin typeface="Tahoma"/>
                  <a:ea typeface="Tahoma"/>
                  <a:cs typeface="Tahoma"/>
                </a:rPr>
                <a:t> S bordázott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442913</xdr:colOff>
          <xdr:row>12</xdr:row>
          <xdr:rowOff>133350</xdr:rowOff>
        </xdr:from>
        <xdr:to>
          <xdr:col>21</xdr:col>
          <xdr:colOff>90488</xdr:colOff>
          <xdr:row>12</xdr:row>
          <xdr:rowOff>261938</xdr:rowOff>
        </xdr:to>
        <xdr:sp macro="" textlink="">
          <xdr:nvSpPr>
            <xdr:cNvPr id="1075" name="Option Button 51" hidden="1">
              <a:extLst>
                <a:ext uri="{63B3BB69-23CF-44E3-9099-C40C66FF867C}">
                  <a14:compatExt spid="_x0000_s1075"/>
                </a:ext>
                <a:ext uri="{FF2B5EF4-FFF2-40B4-BE49-F238E27FC236}">
                  <a16:creationId xmlns:a16="http://schemas.microsoft.com/office/drawing/2014/main" id="{00000000-0008-0000-0100-00003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hu-HU" sz="800" b="0" i="0" u="none" strike="noStrike" baseline="0">
                  <a:solidFill>
                    <a:srgbClr val="000000"/>
                  </a:solidFill>
                  <a:latin typeface="Tahoma"/>
                  <a:ea typeface="Tahoma"/>
                  <a:cs typeface="Tahoma"/>
                </a:rPr>
                <a:t>fehér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261938</xdr:colOff>
          <xdr:row>12</xdr:row>
          <xdr:rowOff>128588</xdr:rowOff>
        </xdr:from>
        <xdr:to>
          <xdr:col>22</xdr:col>
          <xdr:colOff>204788</xdr:colOff>
          <xdr:row>12</xdr:row>
          <xdr:rowOff>271463</xdr:rowOff>
        </xdr:to>
        <xdr:sp macro="" textlink="">
          <xdr:nvSpPr>
            <xdr:cNvPr id="1076" name="Option Button 52" hidden="1">
              <a:extLst>
                <a:ext uri="{63B3BB69-23CF-44E3-9099-C40C66FF867C}">
                  <a14:compatExt spid="_x0000_s1076"/>
                </a:ext>
                <a:ext uri="{FF2B5EF4-FFF2-40B4-BE49-F238E27FC236}">
                  <a16:creationId xmlns:a16="http://schemas.microsoft.com/office/drawing/2014/main" id="{00000000-0008-0000-0100-00003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hu-HU" sz="800" b="0" i="0" u="none" strike="noStrike" baseline="0">
                  <a:solidFill>
                    <a:srgbClr val="000000"/>
                  </a:solidFill>
                  <a:latin typeface="Tahoma"/>
                  <a:ea typeface="Tahoma"/>
                  <a:cs typeface="Tahoma"/>
                </a:rPr>
                <a:t>kívül színes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376238</xdr:colOff>
          <xdr:row>12</xdr:row>
          <xdr:rowOff>128588</xdr:rowOff>
        </xdr:from>
        <xdr:to>
          <xdr:col>23</xdr:col>
          <xdr:colOff>376238</xdr:colOff>
          <xdr:row>12</xdr:row>
          <xdr:rowOff>261938</xdr:rowOff>
        </xdr:to>
        <xdr:sp macro="" textlink="">
          <xdr:nvSpPr>
            <xdr:cNvPr id="1077" name="Option Button 53" hidden="1">
              <a:extLst>
                <a:ext uri="{63B3BB69-23CF-44E3-9099-C40C66FF867C}">
                  <a14:compatExt spid="_x0000_s1077"/>
                </a:ext>
                <a:ext uri="{FF2B5EF4-FFF2-40B4-BE49-F238E27FC236}">
                  <a16:creationId xmlns:a16="http://schemas.microsoft.com/office/drawing/2014/main" id="{00000000-0008-0000-0100-00003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hu-HU" sz="800" b="0" i="0" u="none" strike="noStrike" baseline="0">
                  <a:solidFill>
                    <a:srgbClr val="000000"/>
                  </a:solidFill>
                  <a:latin typeface="Tahoma"/>
                  <a:ea typeface="Tahoma"/>
                  <a:cs typeface="Tahoma"/>
                </a:rPr>
                <a:t>dekorfóliás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790575</xdr:colOff>
          <xdr:row>11</xdr:row>
          <xdr:rowOff>319088</xdr:rowOff>
        </xdr:from>
        <xdr:to>
          <xdr:col>22</xdr:col>
          <xdr:colOff>47625</xdr:colOff>
          <xdr:row>12</xdr:row>
          <xdr:rowOff>23813</xdr:rowOff>
        </xdr:to>
        <xdr:sp macro="" textlink="">
          <xdr:nvSpPr>
            <xdr:cNvPr id="1079" name="Option Button 55" hidden="1">
              <a:extLst>
                <a:ext uri="{63B3BB69-23CF-44E3-9099-C40C66FF867C}">
                  <a14:compatExt spid="_x0000_s1079"/>
                </a:ext>
                <a:ext uri="{FF2B5EF4-FFF2-40B4-BE49-F238E27FC236}">
                  <a16:creationId xmlns:a16="http://schemas.microsoft.com/office/drawing/2014/main" id="{00000000-0008-0000-0100-00003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hu-HU" sz="800" b="0" i="0" u="none" strike="noStrike" baseline="0">
                  <a:solidFill>
                    <a:srgbClr val="000000"/>
                  </a:solidFill>
                  <a:latin typeface="Tahoma"/>
                  <a:ea typeface="Tahoma"/>
                  <a:cs typeface="Tahoma"/>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490538</xdr:colOff>
          <xdr:row>19</xdr:row>
          <xdr:rowOff>57150</xdr:rowOff>
        </xdr:from>
        <xdr:to>
          <xdr:col>23</xdr:col>
          <xdr:colOff>652463</xdr:colOff>
          <xdr:row>19</xdr:row>
          <xdr:rowOff>319088</xdr:rowOff>
        </xdr:to>
        <xdr:sp macro="" textlink="">
          <xdr:nvSpPr>
            <xdr:cNvPr id="1166" name="Check Box 142" hidden="1">
              <a:extLst>
                <a:ext uri="{63B3BB69-23CF-44E3-9099-C40C66FF867C}">
                  <a14:compatExt spid="_x0000_s1166"/>
                </a:ext>
                <a:ext uri="{FF2B5EF4-FFF2-40B4-BE49-F238E27FC236}">
                  <a16:creationId xmlns:a16="http://schemas.microsoft.com/office/drawing/2014/main" id="{00000000-0008-0000-0100-00008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hu-HU" sz="800" b="0" i="0" u="none" strike="noStrike" baseline="0">
                  <a:solidFill>
                    <a:srgbClr val="000000"/>
                  </a:solidFill>
                  <a:latin typeface="Tahoma"/>
                  <a:ea typeface="Tahoma"/>
                  <a:cs typeface="Tahoma"/>
                </a:rPr>
                <a:t>átjáróajtó                 mm-es küszöbbel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490538</xdr:colOff>
          <xdr:row>18</xdr:row>
          <xdr:rowOff>266700</xdr:rowOff>
        </xdr:from>
        <xdr:to>
          <xdr:col>23</xdr:col>
          <xdr:colOff>671513</xdr:colOff>
          <xdr:row>19</xdr:row>
          <xdr:rowOff>80963</xdr:rowOff>
        </xdr:to>
        <xdr:sp macro="" textlink="">
          <xdr:nvSpPr>
            <xdr:cNvPr id="1167" name="Check Box 143" hidden="1">
              <a:extLst>
                <a:ext uri="{63B3BB69-23CF-44E3-9099-C40C66FF867C}">
                  <a14:compatExt spid="_x0000_s1167"/>
                </a:ext>
                <a:ext uri="{FF2B5EF4-FFF2-40B4-BE49-F238E27FC236}">
                  <a16:creationId xmlns:a16="http://schemas.microsoft.com/office/drawing/2014/main" id="{00000000-0008-0000-0100-00008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hu-HU" sz="800" b="0" i="0" u="none" strike="noStrike" baseline="0">
                  <a:solidFill>
                    <a:srgbClr val="000000"/>
                  </a:solidFill>
                  <a:latin typeface="Tahoma"/>
                  <a:ea typeface="Tahoma"/>
                  <a:cs typeface="Tahoma"/>
                </a:rPr>
                <a:t>egy sor bevilágító üveg a felső lamellába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404813</xdr:colOff>
          <xdr:row>20</xdr:row>
          <xdr:rowOff>400050</xdr:rowOff>
        </xdr:from>
        <xdr:to>
          <xdr:col>24</xdr:col>
          <xdr:colOff>0</xdr:colOff>
          <xdr:row>25</xdr:row>
          <xdr:rowOff>385763</xdr:rowOff>
        </xdr:to>
        <xdr:sp macro="" textlink="">
          <xdr:nvSpPr>
            <xdr:cNvPr id="1172" name="Group Box 148" hidden="1">
              <a:extLst>
                <a:ext uri="{63B3BB69-23CF-44E3-9099-C40C66FF867C}">
                  <a14:compatExt spid="_x0000_s1172"/>
                </a:ext>
                <a:ext uri="{FF2B5EF4-FFF2-40B4-BE49-F238E27FC236}">
                  <a16:creationId xmlns:a16="http://schemas.microsoft.com/office/drawing/2014/main" id="{00000000-0008-0000-0100-0000940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471488</xdr:colOff>
          <xdr:row>21</xdr:row>
          <xdr:rowOff>95250</xdr:rowOff>
        </xdr:from>
        <xdr:to>
          <xdr:col>21</xdr:col>
          <xdr:colOff>671513</xdr:colOff>
          <xdr:row>22</xdr:row>
          <xdr:rowOff>95250</xdr:rowOff>
        </xdr:to>
        <xdr:sp macro="" textlink="">
          <xdr:nvSpPr>
            <xdr:cNvPr id="1175" name="Option Button 151" hidden="1">
              <a:extLst>
                <a:ext uri="{63B3BB69-23CF-44E3-9099-C40C66FF867C}">
                  <a14:compatExt spid="_x0000_s1175"/>
                </a:ext>
                <a:ext uri="{FF2B5EF4-FFF2-40B4-BE49-F238E27FC236}">
                  <a16:creationId xmlns:a16="http://schemas.microsoft.com/office/drawing/2014/main" id="{00000000-0008-0000-0100-00009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hu-HU" sz="800" b="0" i="0" u="none" strike="noStrike" baseline="0">
                  <a:solidFill>
                    <a:srgbClr val="000000"/>
                  </a:solidFill>
                  <a:latin typeface="Tahoma"/>
                  <a:ea typeface="Tahoma"/>
                  <a:cs typeface="Tahoma"/>
                </a:rPr>
                <a:t>nincs motor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471488</xdr:colOff>
          <xdr:row>21</xdr:row>
          <xdr:rowOff>300038</xdr:rowOff>
        </xdr:from>
        <xdr:to>
          <xdr:col>23</xdr:col>
          <xdr:colOff>509588</xdr:colOff>
          <xdr:row>22</xdr:row>
          <xdr:rowOff>185738</xdr:rowOff>
        </xdr:to>
        <xdr:sp macro="" textlink="">
          <xdr:nvSpPr>
            <xdr:cNvPr id="1177" name="Option Button 153" hidden="1">
              <a:extLst>
                <a:ext uri="{63B3BB69-23CF-44E3-9099-C40C66FF867C}">
                  <a14:compatExt spid="_x0000_s1177"/>
                </a:ext>
                <a:ext uri="{FF2B5EF4-FFF2-40B4-BE49-F238E27FC236}">
                  <a16:creationId xmlns:a16="http://schemas.microsoft.com/office/drawing/2014/main" id="{00000000-0008-0000-0100-00009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hu-HU" sz="800" b="0" i="0" u="none" strike="noStrike" baseline="0">
                  <a:solidFill>
                    <a:srgbClr val="000000"/>
                  </a:solidFill>
                  <a:latin typeface="Tahoma"/>
                  <a:ea typeface="Tahoma"/>
                  <a:cs typeface="Tahoma"/>
                </a:rPr>
                <a:t>Promatic 600 N-os, 1 db bisecuros távadóval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471488</xdr:colOff>
          <xdr:row>22</xdr:row>
          <xdr:rowOff>171450</xdr:rowOff>
        </xdr:from>
        <xdr:to>
          <xdr:col>23</xdr:col>
          <xdr:colOff>509588</xdr:colOff>
          <xdr:row>22</xdr:row>
          <xdr:rowOff>300038</xdr:rowOff>
        </xdr:to>
        <xdr:sp macro="" textlink="">
          <xdr:nvSpPr>
            <xdr:cNvPr id="1178" name="Option Button 154" hidden="1">
              <a:extLst>
                <a:ext uri="{63B3BB69-23CF-44E3-9099-C40C66FF867C}">
                  <a14:compatExt spid="_x0000_s1178"/>
                </a:ext>
                <a:ext uri="{FF2B5EF4-FFF2-40B4-BE49-F238E27FC236}">
                  <a16:creationId xmlns:a16="http://schemas.microsoft.com/office/drawing/2014/main" id="{00000000-0008-0000-0100-00009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hu-HU" sz="800" b="0" i="0" u="none" strike="noStrike" baseline="0">
                  <a:solidFill>
                    <a:srgbClr val="000000"/>
                  </a:solidFill>
                  <a:latin typeface="Tahoma"/>
                  <a:ea typeface="Tahoma"/>
                  <a:cs typeface="Tahoma"/>
                </a:rPr>
                <a:t>Supramatic 800 N-os, 1 db bisecuros távadó</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404813</xdr:colOff>
          <xdr:row>23</xdr:row>
          <xdr:rowOff>19050</xdr:rowOff>
        </xdr:from>
        <xdr:to>
          <xdr:col>24</xdr:col>
          <xdr:colOff>0</xdr:colOff>
          <xdr:row>24</xdr:row>
          <xdr:rowOff>71438</xdr:rowOff>
        </xdr:to>
        <xdr:sp macro="" textlink="">
          <xdr:nvSpPr>
            <xdr:cNvPr id="1179" name="Group Box 155" hidden="1">
              <a:extLst>
                <a:ext uri="{63B3BB69-23CF-44E3-9099-C40C66FF867C}">
                  <a14:compatExt spid="_x0000_s1179"/>
                </a:ext>
                <a:ext uri="{FF2B5EF4-FFF2-40B4-BE49-F238E27FC236}">
                  <a16:creationId xmlns:a16="http://schemas.microsoft.com/office/drawing/2014/main" id="{00000000-0008-0000-0100-00009B0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404813</xdr:colOff>
          <xdr:row>25</xdr:row>
          <xdr:rowOff>381000</xdr:rowOff>
        </xdr:from>
        <xdr:to>
          <xdr:col>23</xdr:col>
          <xdr:colOff>1347788</xdr:colOff>
          <xdr:row>28</xdr:row>
          <xdr:rowOff>147638</xdr:rowOff>
        </xdr:to>
        <xdr:sp macro="" textlink="">
          <xdr:nvSpPr>
            <xdr:cNvPr id="1189" name="Group Box 165" hidden="1">
              <a:extLst>
                <a:ext uri="{63B3BB69-23CF-44E3-9099-C40C66FF867C}">
                  <a14:compatExt spid="_x0000_s1189"/>
                </a:ext>
                <a:ext uri="{FF2B5EF4-FFF2-40B4-BE49-F238E27FC236}">
                  <a16:creationId xmlns:a16="http://schemas.microsoft.com/office/drawing/2014/main" id="{00000000-0008-0000-0100-0000A50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528638</xdr:colOff>
          <xdr:row>27</xdr:row>
          <xdr:rowOff>195263</xdr:rowOff>
        </xdr:from>
        <xdr:to>
          <xdr:col>23</xdr:col>
          <xdr:colOff>357188</xdr:colOff>
          <xdr:row>28</xdr:row>
          <xdr:rowOff>95250</xdr:rowOff>
        </xdr:to>
        <xdr:sp macro="" textlink="">
          <xdr:nvSpPr>
            <xdr:cNvPr id="1196" name="Option Button 172" hidden="1">
              <a:extLst>
                <a:ext uri="{63B3BB69-23CF-44E3-9099-C40C66FF867C}">
                  <a14:compatExt spid="_x0000_s1196"/>
                </a:ext>
                <a:ext uri="{FF2B5EF4-FFF2-40B4-BE49-F238E27FC236}">
                  <a16:creationId xmlns:a16="http://schemas.microsoft.com/office/drawing/2014/main" id="{00000000-0008-0000-0100-0000A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hu-HU" sz="800" b="0" i="0" u="none" strike="noStrike" baseline="0">
                  <a:solidFill>
                    <a:srgbClr val="000000"/>
                  </a:solidFill>
                  <a:latin typeface="Tahoma"/>
                  <a:ea typeface="Tahoma"/>
                  <a:cs typeface="Tahoma"/>
                </a:rPr>
                <a:t>kilincsműködtetésű szükségkioldó</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471488</xdr:colOff>
          <xdr:row>11</xdr:row>
          <xdr:rowOff>304800</xdr:rowOff>
        </xdr:from>
        <xdr:to>
          <xdr:col>21</xdr:col>
          <xdr:colOff>342900</xdr:colOff>
          <xdr:row>12</xdr:row>
          <xdr:rowOff>14288</xdr:rowOff>
        </xdr:to>
        <xdr:sp macro="" textlink="">
          <xdr:nvSpPr>
            <xdr:cNvPr id="1197" name="Option Button 173" hidden="1">
              <a:extLst>
                <a:ext uri="{63B3BB69-23CF-44E3-9099-C40C66FF867C}">
                  <a14:compatExt spid="_x0000_s1197"/>
                </a:ext>
                <a:ext uri="{FF2B5EF4-FFF2-40B4-BE49-F238E27FC236}">
                  <a16:creationId xmlns:a16="http://schemas.microsoft.com/office/drawing/2014/main" id="{00000000-0008-0000-0100-0000A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hu-HU" sz="800" b="0" i="0" u="none" strike="noStrike" baseline="0">
                  <a:solidFill>
                    <a:srgbClr val="000000"/>
                  </a:solidFill>
                  <a:latin typeface="Tahoma"/>
                  <a:ea typeface="Tahoma"/>
                  <a:cs typeface="Tahoma"/>
                </a:rPr>
                <a:t> M bordázott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528638</xdr:colOff>
          <xdr:row>0</xdr:row>
          <xdr:rowOff>190500</xdr:rowOff>
        </xdr:from>
        <xdr:to>
          <xdr:col>24</xdr:col>
          <xdr:colOff>133350</xdr:colOff>
          <xdr:row>44</xdr:row>
          <xdr:rowOff>61913</xdr:rowOff>
        </xdr:to>
        <xdr:sp macro="" textlink="">
          <xdr:nvSpPr>
            <xdr:cNvPr id="1213" name="Group Box 189" hidden="1">
              <a:extLst>
                <a:ext uri="{63B3BB69-23CF-44E3-9099-C40C66FF867C}">
                  <a14:compatExt spid="_x0000_s1213"/>
                </a:ext>
                <a:ext uri="{FF2B5EF4-FFF2-40B4-BE49-F238E27FC236}">
                  <a16:creationId xmlns:a16="http://schemas.microsoft.com/office/drawing/2014/main" id="{00000000-0008-0000-0100-0000BD0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495300</xdr:colOff>
          <xdr:row>24</xdr:row>
          <xdr:rowOff>109538</xdr:rowOff>
        </xdr:from>
        <xdr:to>
          <xdr:col>23</xdr:col>
          <xdr:colOff>709613</xdr:colOff>
          <xdr:row>24</xdr:row>
          <xdr:rowOff>547688</xdr:rowOff>
        </xdr:to>
        <xdr:sp macro="" textlink="">
          <xdr:nvSpPr>
            <xdr:cNvPr id="1355" name="Check Box 331" hidden="1">
              <a:extLst>
                <a:ext uri="{63B3BB69-23CF-44E3-9099-C40C66FF867C}">
                  <a14:compatExt spid="_x0000_s1355"/>
                </a:ext>
                <a:ext uri="{FF2B5EF4-FFF2-40B4-BE49-F238E27FC236}">
                  <a16:creationId xmlns:a16="http://schemas.microsoft.com/office/drawing/2014/main" id="{00000000-0008-0000-0100-00004B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hu-HU" sz="800" b="0" i="0" u="none" strike="noStrike" baseline="0">
                  <a:solidFill>
                    <a:srgbClr val="000000"/>
                  </a:solidFill>
                  <a:latin typeface="Tahoma"/>
                  <a:ea typeface="Tahoma"/>
                  <a:cs typeface="Tahoma"/>
                </a:rPr>
                <a:t>Fotocella plusz optikai akadályérzékeléshez</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495300</xdr:colOff>
          <xdr:row>24</xdr:row>
          <xdr:rowOff>457200</xdr:rowOff>
        </xdr:from>
        <xdr:to>
          <xdr:col>23</xdr:col>
          <xdr:colOff>709613</xdr:colOff>
          <xdr:row>25</xdr:row>
          <xdr:rowOff>300038</xdr:rowOff>
        </xdr:to>
        <xdr:sp macro="" textlink="">
          <xdr:nvSpPr>
            <xdr:cNvPr id="1356" name="Check Box 332" hidden="1">
              <a:extLst>
                <a:ext uri="{63B3BB69-23CF-44E3-9099-C40C66FF867C}">
                  <a14:compatExt spid="_x0000_s1356"/>
                </a:ext>
                <a:ext uri="{FF2B5EF4-FFF2-40B4-BE49-F238E27FC236}">
                  <a16:creationId xmlns:a16="http://schemas.microsoft.com/office/drawing/2014/main" id="{00000000-0008-0000-0100-00004C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hu-HU" sz="800" b="0" i="0" u="none" strike="noStrike" baseline="0">
                  <a:solidFill>
                    <a:srgbClr val="000000"/>
                  </a:solidFill>
                  <a:latin typeface="Tahoma"/>
                  <a:ea typeface="Tahoma"/>
                  <a:cs typeface="Tahoma"/>
                </a:rPr>
                <a:t>vevőegység más típusú kertkapu motorba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457200</xdr:colOff>
          <xdr:row>28</xdr:row>
          <xdr:rowOff>571500</xdr:rowOff>
        </xdr:from>
        <xdr:to>
          <xdr:col>22</xdr:col>
          <xdr:colOff>585788</xdr:colOff>
          <xdr:row>29</xdr:row>
          <xdr:rowOff>414338</xdr:rowOff>
        </xdr:to>
        <xdr:sp macro="" textlink="">
          <xdr:nvSpPr>
            <xdr:cNvPr id="1368" name="Option Button 344" hidden="1">
              <a:extLst>
                <a:ext uri="{63B3BB69-23CF-44E3-9099-C40C66FF867C}">
                  <a14:compatExt spid="_x0000_s1368"/>
                </a:ext>
                <a:ext uri="{FF2B5EF4-FFF2-40B4-BE49-F238E27FC236}">
                  <a16:creationId xmlns:a16="http://schemas.microsoft.com/office/drawing/2014/main" id="{00000000-0008-0000-0100-000058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hu-HU" sz="800" b="0" i="0" u="none" strike="noStrike" baseline="0">
                  <a:solidFill>
                    <a:srgbClr val="000000"/>
                  </a:solidFill>
                  <a:latin typeface="Tahoma"/>
                  <a:ea typeface="Tahoma"/>
                  <a:cs typeface="Tahoma"/>
                </a:rPr>
                <a:t>online vagy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471488</xdr:colOff>
          <xdr:row>28</xdr:row>
          <xdr:rowOff>604838</xdr:rowOff>
        </xdr:from>
        <xdr:to>
          <xdr:col>23</xdr:col>
          <xdr:colOff>652463</xdr:colOff>
          <xdr:row>29</xdr:row>
          <xdr:rowOff>414338</xdr:rowOff>
        </xdr:to>
        <xdr:sp macro="" textlink="">
          <xdr:nvSpPr>
            <xdr:cNvPr id="1369" name="Option Button 345" hidden="1">
              <a:extLst>
                <a:ext uri="{63B3BB69-23CF-44E3-9099-C40C66FF867C}">
                  <a14:compatExt spid="_x0000_s1369"/>
                </a:ext>
                <a:ext uri="{FF2B5EF4-FFF2-40B4-BE49-F238E27FC236}">
                  <a16:creationId xmlns:a16="http://schemas.microsoft.com/office/drawing/2014/main" id="{00000000-0008-0000-0100-000059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hu-HU" sz="800" b="0" i="0" u="none" strike="noStrike" baseline="0">
                  <a:solidFill>
                    <a:srgbClr val="000000"/>
                  </a:solidFill>
                  <a:latin typeface="Tahoma"/>
                  <a:ea typeface="Tahoma"/>
                  <a:cs typeface="Tahoma"/>
                </a:rPr>
                <a:t>személyes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32</xdr:row>
          <xdr:rowOff>23813</xdr:rowOff>
        </xdr:from>
        <xdr:to>
          <xdr:col>23</xdr:col>
          <xdr:colOff>376238</xdr:colOff>
          <xdr:row>32</xdr:row>
          <xdr:rowOff>190500</xdr:rowOff>
        </xdr:to>
        <xdr:sp macro="" textlink="">
          <xdr:nvSpPr>
            <xdr:cNvPr id="1370" name="Drop Down 346" hidden="1">
              <a:extLst>
                <a:ext uri="{63B3BB69-23CF-44E3-9099-C40C66FF867C}">
                  <a14:compatExt spid="_x0000_s1370"/>
                </a:ext>
                <a:ext uri="{FF2B5EF4-FFF2-40B4-BE49-F238E27FC236}">
                  <a16:creationId xmlns:a16="http://schemas.microsoft.com/office/drawing/2014/main" id="{00000000-0008-0000-0100-00005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528638</xdr:colOff>
          <xdr:row>30</xdr:row>
          <xdr:rowOff>223838</xdr:rowOff>
        </xdr:from>
        <xdr:to>
          <xdr:col>23</xdr:col>
          <xdr:colOff>471488</xdr:colOff>
          <xdr:row>31</xdr:row>
          <xdr:rowOff>147638</xdr:rowOff>
        </xdr:to>
        <xdr:sp macro="" textlink="">
          <xdr:nvSpPr>
            <xdr:cNvPr id="1376" name="Check Box 352" hidden="1">
              <a:extLst>
                <a:ext uri="{63B3BB69-23CF-44E3-9099-C40C66FF867C}">
                  <a14:compatExt spid="_x0000_s1376"/>
                </a:ext>
                <a:ext uri="{FF2B5EF4-FFF2-40B4-BE49-F238E27FC236}">
                  <a16:creationId xmlns:a16="http://schemas.microsoft.com/office/drawing/2014/main" id="{00000000-0008-0000-0100-000060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hu-HU" sz="800" b="0" i="0" u="none" strike="noStrike" baseline="0">
                  <a:solidFill>
                    <a:srgbClr val="000000"/>
                  </a:solidFill>
                  <a:latin typeface="Tahoma"/>
                  <a:ea typeface="Tahoma"/>
                  <a:cs typeface="Tahoma"/>
                </a:rPr>
                <a:t>építési engedélyes, e-naplós kivitelezés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376238</xdr:colOff>
          <xdr:row>12</xdr:row>
          <xdr:rowOff>304800</xdr:rowOff>
        </xdr:from>
        <xdr:to>
          <xdr:col>24</xdr:col>
          <xdr:colOff>0</xdr:colOff>
          <xdr:row>14</xdr:row>
          <xdr:rowOff>304800</xdr:rowOff>
        </xdr:to>
        <xdr:sp macro="" textlink="">
          <xdr:nvSpPr>
            <xdr:cNvPr id="27980" name="Group Box 3404" hidden="1">
              <a:extLst>
                <a:ext uri="{63B3BB69-23CF-44E3-9099-C40C66FF867C}">
                  <a14:compatExt spid="_x0000_s27980"/>
                </a:ext>
                <a:ext uri="{FF2B5EF4-FFF2-40B4-BE49-F238E27FC236}">
                  <a16:creationId xmlns:a16="http://schemas.microsoft.com/office/drawing/2014/main" id="{00000000-0008-0000-0100-00004C6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442913</xdr:colOff>
          <xdr:row>7</xdr:row>
          <xdr:rowOff>42863</xdr:rowOff>
        </xdr:from>
        <xdr:to>
          <xdr:col>21</xdr:col>
          <xdr:colOff>1100138</xdr:colOff>
          <xdr:row>8</xdr:row>
          <xdr:rowOff>338138</xdr:rowOff>
        </xdr:to>
        <xdr:sp macro="" textlink="">
          <xdr:nvSpPr>
            <xdr:cNvPr id="27981" name="Option Button 3405" hidden="1">
              <a:extLst>
                <a:ext uri="{63B3BB69-23CF-44E3-9099-C40C66FF867C}">
                  <a14:compatExt spid="_x0000_s27981"/>
                </a:ext>
                <a:ext uri="{FF2B5EF4-FFF2-40B4-BE49-F238E27FC236}">
                  <a16:creationId xmlns:a16="http://schemas.microsoft.com/office/drawing/2014/main" id="{00000000-0008-0000-0100-00004D6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hu-HU" sz="800" b="0" i="0" u="none" strike="noStrike" baseline="0">
                  <a:solidFill>
                    <a:srgbClr val="000000"/>
                  </a:solidFill>
                  <a:latin typeface="Tahoma"/>
                  <a:ea typeface="Tahoma"/>
                  <a:cs typeface="Tahoma"/>
                </a:rPr>
                <a:t> teljes kínálat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442913</xdr:colOff>
          <xdr:row>8</xdr:row>
          <xdr:rowOff>190500</xdr:rowOff>
        </xdr:from>
        <xdr:to>
          <xdr:col>23</xdr:col>
          <xdr:colOff>90488</xdr:colOff>
          <xdr:row>9</xdr:row>
          <xdr:rowOff>280988</xdr:rowOff>
        </xdr:to>
        <xdr:sp macro="" textlink="">
          <xdr:nvSpPr>
            <xdr:cNvPr id="27982" name="Option Button 3406" hidden="1">
              <a:extLst>
                <a:ext uri="{63B3BB69-23CF-44E3-9099-C40C66FF867C}">
                  <a14:compatExt spid="_x0000_s27982"/>
                </a:ext>
                <a:ext uri="{FF2B5EF4-FFF2-40B4-BE49-F238E27FC236}">
                  <a16:creationId xmlns:a16="http://schemas.microsoft.com/office/drawing/2014/main" id="{00000000-0008-0000-0100-00004E6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hu-HU" sz="800" b="0" i="0" u="none" strike="noStrike" baseline="0">
                  <a:solidFill>
                    <a:srgbClr val="000000"/>
                  </a:solidFill>
                  <a:latin typeface="Tahoma"/>
                  <a:ea typeface="Tahoma"/>
                  <a:cs typeface="Tahoma"/>
                </a:rPr>
                <a:t> Éves akciós termékkínálat, ami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381000</xdr:colOff>
          <xdr:row>16</xdr:row>
          <xdr:rowOff>185738</xdr:rowOff>
        </xdr:from>
        <xdr:to>
          <xdr:col>24</xdr:col>
          <xdr:colOff>0</xdr:colOff>
          <xdr:row>16</xdr:row>
          <xdr:rowOff>300038</xdr:rowOff>
        </xdr:to>
        <xdr:sp macro="" textlink="">
          <xdr:nvSpPr>
            <xdr:cNvPr id="28017" name="Group Box 3441" hidden="1">
              <a:extLst>
                <a:ext uri="{63B3BB69-23CF-44E3-9099-C40C66FF867C}">
                  <a14:compatExt spid="_x0000_s28017"/>
                </a:ext>
                <a:ext uri="{FF2B5EF4-FFF2-40B4-BE49-F238E27FC236}">
                  <a16:creationId xmlns:a16="http://schemas.microsoft.com/office/drawing/2014/main" id="{00000000-0008-0000-0100-0000716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442913</xdr:colOff>
          <xdr:row>13</xdr:row>
          <xdr:rowOff>52388</xdr:rowOff>
        </xdr:from>
        <xdr:to>
          <xdr:col>23</xdr:col>
          <xdr:colOff>190500</xdr:colOff>
          <xdr:row>13</xdr:row>
          <xdr:rowOff>457200</xdr:rowOff>
        </xdr:to>
        <xdr:sp macro="" textlink="">
          <xdr:nvSpPr>
            <xdr:cNvPr id="28019" name="Option Button 3443" hidden="1">
              <a:extLst>
                <a:ext uri="{63B3BB69-23CF-44E3-9099-C40C66FF867C}">
                  <a14:compatExt spid="_x0000_s28019"/>
                </a:ext>
                <a:ext uri="{FF2B5EF4-FFF2-40B4-BE49-F238E27FC236}">
                  <a16:creationId xmlns:a16="http://schemas.microsoft.com/office/drawing/2014/main" id="{00000000-0008-0000-0100-0000736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hu-HU" sz="800" b="0" i="0" u="none" strike="noStrike" baseline="0">
                  <a:solidFill>
                    <a:srgbClr val="000000"/>
                  </a:solidFill>
                  <a:latin typeface="Tahoma"/>
                  <a:ea typeface="Tahoma"/>
                  <a:cs typeface="Tahoma"/>
                </a:rPr>
                <a:t> M bordázott woodgrain felület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457200</xdr:colOff>
          <xdr:row>13</xdr:row>
          <xdr:rowOff>247650</xdr:rowOff>
        </xdr:from>
        <xdr:to>
          <xdr:col>22</xdr:col>
          <xdr:colOff>661988</xdr:colOff>
          <xdr:row>14</xdr:row>
          <xdr:rowOff>128588</xdr:rowOff>
        </xdr:to>
        <xdr:sp macro="" textlink="">
          <xdr:nvSpPr>
            <xdr:cNvPr id="28020" name="Option Button 3444" hidden="1">
              <a:extLst>
                <a:ext uri="{63B3BB69-23CF-44E3-9099-C40C66FF867C}">
                  <a14:compatExt spid="_x0000_s28020"/>
                </a:ext>
                <a:ext uri="{FF2B5EF4-FFF2-40B4-BE49-F238E27FC236}">
                  <a16:creationId xmlns:a16="http://schemas.microsoft.com/office/drawing/2014/main" id="{00000000-0008-0000-0100-0000746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hu-HU" sz="800" b="0" i="0" u="none" strike="noStrike" baseline="0">
                  <a:solidFill>
                    <a:srgbClr val="000000"/>
                  </a:solidFill>
                  <a:latin typeface="Tahoma"/>
                  <a:ea typeface="Tahoma"/>
                  <a:cs typeface="Tahoma"/>
                </a:rPr>
                <a:t> L bordázott Planar felület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457200</xdr:colOff>
          <xdr:row>15</xdr:row>
          <xdr:rowOff>0</xdr:rowOff>
        </xdr:from>
        <xdr:to>
          <xdr:col>23</xdr:col>
          <xdr:colOff>509588</xdr:colOff>
          <xdr:row>15</xdr:row>
          <xdr:rowOff>242888</xdr:rowOff>
        </xdr:to>
        <xdr:sp macro="" textlink="">
          <xdr:nvSpPr>
            <xdr:cNvPr id="28021" name="Option Button 3445" hidden="1">
              <a:extLst>
                <a:ext uri="{63B3BB69-23CF-44E3-9099-C40C66FF867C}">
                  <a14:compatExt spid="_x0000_s28021"/>
                </a:ext>
                <a:ext uri="{FF2B5EF4-FFF2-40B4-BE49-F238E27FC236}">
                  <a16:creationId xmlns:a16="http://schemas.microsoft.com/office/drawing/2014/main" id="{00000000-0008-0000-0100-0000756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hu-HU" sz="800" b="0" i="0" u="none" strike="noStrike" baseline="0">
                  <a:solidFill>
                    <a:srgbClr val="000000"/>
                  </a:solidFill>
                  <a:latin typeface="Tahoma"/>
                  <a:ea typeface="Tahoma"/>
                  <a:cs typeface="Tahoma"/>
                </a:rPr>
                <a:t> ProLift700 motor 2 db RSC2 távadóval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457200</xdr:colOff>
          <xdr:row>15</xdr:row>
          <xdr:rowOff>157163</xdr:rowOff>
        </xdr:from>
        <xdr:to>
          <xdr:col>23</xdr:col>
          <xdr:colOff>204788</xdr:colOff>
          <xdr:row>16</xdr:row>
          <xdr:rowOff>61913</xdr:rowOff>
        </xdr:to>
        <xdr:sp macro="" textlink="">
          <xdr:nvSpPr>
            <xdr:cNvPr id="28022" name="Option Button 3446" hidden="1">
              <a:extLst>
                <a:ext uri="{63B3BB69-23CF-44E3-9099-C40C66FF867C}">
                  <a14:compatExt spid="_x0000_s28022"/>
                </a:ext>
                <a:ext uri="{FF2B5EF4-FFF2-40B4-BE49-F238E27FC236}">
                  <a16:creationId xmlns:a16="http://schemas.microsoft.com/office/drawing/2014/main" id="{00000000-0008-0000-0100-0000766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hu-HU" sz="800" b="0" i="0" u="none" strike="noStrike" baseline="0">
                  <a:solidFill>
                    <a:srgbClr val="000000"/>
                  </a:solidFill>
                  <a:latin typeface="Tahoma"/>
                  <a:ea typeface="Tahoma"/>
                  <a:cs typeface="Tahoma"/>
                </a:rPr>
                <a:t> Promatic motor 1 db HSE4 BS távadóval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457200</xdr:colOff>
          <xdr:row>15</xdr:row>
          <xdr:rowOff>395288</xdr:rowOff>
        </xdr:from>
        <xdr:to>
          <xdr:col>23</xdr:col>
          <xdr:colOff>214313</xdr:colOff>
          <xdr:row>16</xdr:row>
          <xdr:rowOff>190500</xdr:rowOff>
        </xdr:to>
        <xdr:sp macro="" textlink="">
          <xdr:nvSpPr>
            <xdr:cNvPr id="28023" name="Option Button 3447" hidden="1">
              <a:extLst>
                <a:ext uri="{63B3BB69-23CF-44E3-9099-C40C66FF867C}">
                  <a14:compatExt spid="_x0000_s28023"/>
                </a:ext>
                <a:ext uri="{FF2B5EF4-FFF2-40B4-BE49-F238E27FC236}">
                  <a16:creationId xmlns:a16="http://schemas.microsoft.com/office/drawing/2014/main" id="{00000000-0008-0000-0100-0000776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hu-HU" sz="800" b="0" i="0" u="none" strike="noStrike" baseline="0">
                  <a:solidFill>
                    <a:srgbClr val="000000"/>
                  </a:solidFill>
                  <a:latin typeface="Tahoma"/>
                  <a:ea typeface="Tahoma"/>
                  <a:cs typeface="Tahoma"/>
                </a:rPr>
                <a:t> Supramatic E motor 1 db HS5 BS távadóval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381000</xdr:colOff>
          <xdr:row>14</xdr:row>
          <xdr:rowOff>304800</xdr:rowOff>
        </xdr:from>
        <xdr:to>
          <xdr:col>24</xdr:col>
          <xdr:colOff>0</xdr:colOff>
          <xdr:row>16</xdr:row>
          <xdr:rowOff>190500</xdr:rowOff>
        </xdr:to>
        <xdr:sp macro="" textlink="">
          <xdr:nvSpPr>
            <xdr:cNvPr id="28025" name="Group Box 3449" hidden="1">
              <a:extLst>
                <a:ext uri="{63B3BB69-23CF-44E3-9099-C40C66FF867C}">
                  <a14:compatExt spid="_x0000_s28025"/>
                </a:ext>
                <a:ext uri="{FF2B5EF4-FFF2-40B4-BE49-F238E27FC236}">
                  <a16:creationId xmlns:a16="http://schemas.microsoft.com/office/drawing/2014/main" id="{00000000-0008-0000-0100-0000796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785813</xdr:colOff>
          <xdr:row>11</xdr:row>
          <xdr:rowOff>71438</xdr:rowOff>
        </xdr:from>
        <xdr:to>
          <xdr:col>23</xdr:col>
          <xdr:colOff>280988</xdr:colOff>
          <xdr:row>11</xdr:row>
          <xdr:rowOff>338138</xdr:rowOff>
        </xdr:to>
        <xdr:sp macro="" textlink="">
          <xdr:nvSpPr>
            <xdr:cNvPr id="28243" name="Option Button 3667" hidden="1">
              <a:extLst>
                <a:ext uri="{63B3BB69-23CF-44E3-9099-C40C66FF867C}">
                  <a14:compatExt spid="_x0000_s28243"/>
                </a:ext>
                <a:ext uri="{FF2B5EF4-FFF2-40B4-BE49-F238E27FC236}">
                  <a16:creationId xmlns:a16="http://schemas.microsoft.com/office/drawing/2014/main" id="{00000000-0008-0000-0100-0000536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hu-HU" sz="800" b="0" i="0" u="none" strike="noStrike" baseline="0">
                  <a:solidFill>
                    <a:srgbClr val="000000"/>
                  </a:solidFill>
                  <a:latin typeface="Tahoma"/>
                  <a:ea typeface="Tahoma"/>
                  <a:cs typeface="Tahoma"/>
                </a:rPr>
                <a:t> L bordázott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481013</xdr:colOff>
          <xdr:row>18</xdr:row>
          <xdr:rowOff>61913</xdr:rowOff>
        </xdr:from>
        <xdr:to>
          <xdr:col>23</xdr:col>
          <xdr:colOff>652463</xdr:colOff>
          <xdr:row>18</xdr:row>
          <xdr:rowOff>266700</xdr:rowOff>
        </xdr:to>
        <xdr:sp macro="" textlink="">
          <xdr:nvSpPr>
            <xdr:cNvPr id="28413" name="Check Box 3837" hidden="1">
              <a:extLst>
                <a:ext uri="{63B3BB69-23CF-44E3-9099-C40C66FF867C}">
                  <a14:compatExt spid="_x0000_s28413"/>
                </a:ext>
                <a:ext uri="{FF2B5EF4-FFF2-40B4-BE49-F238E27FC236}">
                  <a16:creationId xmlns:a16="http://schemas.microsoft.com/office/drawing/2014/main" id="{00000000-0008-0000-0100-0000FD6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hu-HU" sz="800" b="0" i="0" u="none" strike="noStrike" baseline="0">
                  <a:solidFill>
                    <a:srgbClr val="000000"/>
                  </a:solidFill>
                  <a:latin typeface="Tahoma"/>
                  <a:ea typeface="Tahoma"/>
                  <a:cs typeface="Tahoma"/>
                </a:rPr>
                <a:t>ThermoFrame hőszigetelő keret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457200</xdr:colOff>
          <xdr:row>14</xdr:row>
          <xdr:rowOff>71438</xdr:rowOff>
        </xdr:from>
        <xdr:to>
          <xdr:col>23</xdr:col>
          <xdr:colOff>0</xdr:colOff>
          <xdr:row>14</xdr:row>
          <xdr:rowOff>290513</xdr:rowOff>
        </xdr:to>
        <xdr:sp macro="" textlink="">
          <xdr:nvSpPr>
            <xdr:cNvPr id="33323" name="Option Button 4651" hidden="1">
              <a:extLst>
                <a:ext uri="{63B3BB69-23CF-44E3-9099-C40C66FF867C}">
                  <a14:compatExt spid="_x0000_s33323"/>
                </a:ext>
                <a:ext uri="{FF2B5EF4-FFF2-40B4-BE49-F238E27FC236}">
                  <a16:creationId xmlns:a16="http://schemas.microsoft.com/office/drawing/2014/main" id="{00000000-0008-0000-0100-00002B8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hu-HU" sz="800" b="0" i="0" u="none" strike="noStrike" baseline="0">
                  <a:solidFill>
                    <a:srgbClr val="000000"/>
                  </a:solidFill>
                  <a:latin typeface="Tahoma"/>
                  <a:ea typeface="Tahoma"/>
                  <a:cs typeface="Tahoma"/>
                </a:rPr>
                <a:t> L bordázott Slategrain felület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338138</xdr:colOff>
          <xdr:row>19</xdr:row>
          <xdr:rowOff>109538</xdr:rowOff>
        </xdr:from>
        <xdr:to>
          <xdr:col>22</xdr:col>
          <xdr:colOff>0</xdr:colOff>
          <xdr:row>19</xdr:row>
          <xdr:rowOff>261938</xdr:rowOff>
        </xdr:to>
        <xdr:sp macro="" textlink="">
          <xdr:nvSpPr>
            <xdr:cNvPr id="33382" name="Drop Down 4710" hidden="1">
              <a:extLst>
                <a:ext uri="{63B3BB69-23CF-44E3-9099-C40C66FF867C}">
                  <a14:compatExt spid="_x0000_s33382"/>
                </a:ext>
                <a:ext uri="{FF2B5EF4-FFF2-40B4-BE49-F238E27FC236}">
                  <a16:creationId xmlns:a16="http://schemas.microsoft.com/office/drawing/2014/main" id="{00000000-0008-0000-0100-0000668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20</xdr:col>
      <xdr:colOff>726801</xdr:colOff>
      <xdr:row>19</xdr:row>
      <xdr:rowOff>298341</xdr:rowOff>
    </xdr:from>
    <xdr:to>
      <xdr:col>23</xdr:col>
      <xdr:colOff>380960</xdr:colOff>
      <xdr:row>20</xdr:row>
      <xdr:rowOff>133336</xdr:rowOff>
    </xdr:to>
    <xdr:sp macro="" textlink="">
      <xdr:nvSpPr>
        <xdr:cNvPr id="81" name="Text Box 159">
          <a:extLst>
            <a:ext uri="{FF2B5EF4-FFF2-40B4-BE49-F238E27FC236}">
              <a16:creationId xmlns:a16="http://schemas.microsoft.com/office/drawing/2014/main" id="{00000000-0008-0000-0100-000051000000}"/>
            </a:ext>
          </a:extLst>
        </xdr:cNvPr>
        <xdr:cNvSpPr txBox="1">
          <a:spLocks noChangeArrowheads="1"/>
        </xdr:cNvSpPr>
      </xdr:nvSpPr>
      <xdr:spPr bwMode="auto">
        <a:xfrm>
          <a:off x="7924964" y="4855451"/>
          <a:ext cx="2017177" cy="185135"/>
        </a:xfrm>
        <a:prstGeom prst="rect">
          <a:avLst/>
        </a:prstGeom>
        <a:noFill/>
        <a:ln w="9525">
          <a:noFill/>
          <a:miter lim="800000"/>
          <a:headEnd/>
          <a:tailEnd/>
        </a:ln>
      </xdr:spPr>
      <xdr:txBody>
        <a:bodyPr vertOverflow="clip" wrap="square" lIns="27432" tIns="22860" rIns="0" bIns="0" anchor="t" upright="1"/>
        <a:lstStyle/>
        <a:p>
          <a:pPr algn="l" rtl="0">
            <a:defRPr sz="1000"/>
          </a:pPr>
          <a:r>
            <a:rPr lang="hu-HU" sz="800" b="0" i="0" u="none" strike="noStrike" baseline="0">
              <a:solidFill>
                <a:srgbClr val="000000"/>
              </a:solidFill>
              <a:latin typeface="Arial"/>
              <a:cs typeface="Arial"/>
            </a:rPr>
            <a:t>Színes kapuk esetén átjáróa ajtó keret:</a:t>
          </a:r>
          <a:endParaRPr lang="hu-HU" sz="800" b="0" i="0" u="none" strike="noStrike" baseline="0">
            <a:solidFill>
              <a:srgbClr val="333333"/>
            </a:solidFill>
            <a:latin typeface="Arial"/>
            <a:cs typeface="Arial"/>
          </a:endParaRPr>
        </a:p>
      </xdr:txBody>
    </xdr:sp>
    <xdr:clientData/>
  </xdr:twoCellAnchor>
  <mc:AlternateContent xmlns:mc="http://schemas.openxmlformats.org/markup-compatibility/2006">
    <mc:Choice xmlns:a14="http://schemas.microsoft.com/office/drawing/2010/main" Requires="a14">
      <xdr:twoCellAnchor editAs="oneCell">
        <xdr:from>
          <xdr:col>21</xdr:col>
          <xdr:colOff>176213</xdr:colOff>
          <xdr:row>20</xdr:row>
          <xdr:rowOff>133350</xdr:rowOff>
        </xdr:from>
        <xdr:to>
          <xdr:col>22</xdr:col>
          <xdr:colOff>133350</xdr:colOff>
          <xdr:row>20</xdr:row>
          <xdr:rowOff>309563</xdr:rowOff>
        </xdr:to>
        <xdr:sp macro="" textlink="">
          <xdr:nvSpPr>
            <xdr:cNvPr id="38320" name="Option Button 5552" hidden="1">
              <a:extLst>
                <a:ext uri="{63B3BB69-23CF-44E3-9099-C40C66FF867C}">
                  <a14:compatExt spid="_x0000_s38320"/>
                </a:ext>
                <a:ext uri="{FF2B5EF4-FFF2-40B4-BE49-F238E27FC236}">
                  <a16:creationId xmlns:a16="http://schemas.microsoft.com/office/drawing/2014/main" id="{00000000-0008-0000-0100-0000B09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hu-HU" sz="800" b="0" i="0" u="none" strike="noStrike" baseline="0">
                  <a:solidFill>
                    <a:srgbClr val="000000"/>
                  </a:solidFill>
                  <a:latin typeface="Tahoma"/>
                  <a:ea typeface="Tahoma"/>
                  <a:cs typeface="Tahoma"/>
                </a:rPr>
                <a:t>alumínium</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90488</xdr:colOff>
          <xdr:row>20</xdr:row>
          <xdr:rowOff>138113</xdr:rowOff>
        </xdr:from>
        <xdr:to>
          <xdr:col>23</xdr:col>
          <xdr:colOff>204788</xdr:colOff>
          <xdr:row>20</xdr:row>
          <xdr:rowOff>319088</xdr:rowOff>
        </xdr:to>
        <xdr:sp macro="" textlink="">
          <xdr:nvSpPr>
            <xdr:cNvPr id="38321" name="Option Button 5553" hidden="1">
              <a:extLst>
                <a:ext uri="{63B3BB69-23CF-44E3-9099-C40C66FF867C}">
                  <a14:compatExt spid="_x0000_s38321"/>
                </a:ext>
                <a:ext uri="{FF2B5EF4-FFF2-40B4-BE49-F238E27FC236}">
                  <a16:creationId xmlns:a16="http://schemas.microsoft.com/office/drawing/2014/main" id="{00000000-0008-0000-0100-0000B19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hu-HU" sz="800" b="0" i="0" u="none" strike="noStrike" baseline="0">
                  <a:solidFill>
                    <a:srgbClr val="000000"/>
                  </a:solidFill>
                  <a:latin typeface="Tahoma"/>
                  <a:ea typeface="Tahoma"/>
                  <a:cs typeface="Tahoma"/>
                </a:rPr>
                <a:t>kívül színes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528638</xdr:colOff>
          <xdr:row>27</xdr:row>
          <xdr:rowOff>33338</xdr:rowOff>
        </xdr:from>
        <xdr:to>
          <xdr:col>23</xdr:col>
          <xdr:colOff>385763</xdr:colOff>
          <xdr:row>27</xdr:row>
          <xdr:rowOff>233363</xdr:rowOff>
        </xdr:to>
        <xdr:sp macro="" textlink="">
          <xdr:nvSpPr>
            <xdr:cNvPr id="38384" name="Option Button 5616" hidden="1">
              <a:extLst>
                <a:ext uri="{63B3BB69-23CF-44E3-9099-C40C66FF867C}">
                  <a14:compatExt spid="_x0000_s38384"/>
                </a:ext>
                <a:ext uri="{FF2B5EF4-FFF2-40B4-BE49-F238E27FC236}">
                  <a16:creationId xmlns:a16="http://schemas.microsoft.com/office/drawing/2014/main" id="{00000000-0008-0000-0100-0000F09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hu-HU" sz="800" b="0" i="0" u="none" strike="noStrike" baseline="0">
                  <a:solidFill>
                    <a:srgbClr val="000000"/>
                  </a:solidFill>
                  <a:latin typeface="Tahoma"/>
                  <a:ea typeface="Tahoma"/>
                  <a:cs typeface="Tahoma"/>
                </a:rPr>
                <a:t>kihúzható zárbetétes szükségkioldó</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514350</xdr:colOff>
          <xdr:row>26</xdr:row>
          <xdr:rowOff>166688</xdr:rowOff>
        </xdr:from>
        <xdr:to>
          <xdr:col>23</xdr:col>
          <xdr:colOff>176213</xdr:colOff>
          <xdr:row>27</xdr:row>
          <xdr:rowOff>71438</xdr:rowOff>
        </xdr:to>
        <xdr:sp macro="" textlink="">
          <xdr:nvSpPr>
            <xdr:cNvPr id="38386" name="Option Button 5618" hidden="1">
              <a:extLst>
                <a:ext uri="{63B3BB69-23CF-44E3-9099-C40C66FF867C}">
                  <a14:compatExt spid="_x0000_s38386"/>
                </a:ext>
                <a:ext uri="{FF2B5EF4-FFF2-40B4-BE49-F238E27FC236}">
                  <a16:creationId xmlns:a16="http://schemas.microsoft.com/office/drawing/2014/main" id="{00000000-0008-0000-0100-0000F29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hu-HU" sz="800" b="0" i="0" u="none" strike="noStrike" baseline="0">
                  <a:solidFill>
                    <a:srgbClr val="000000"/>
                  </a:solidFill>
                  <a:latin typeface="Tahoma"/>
                  <a:ea typeface="Tahoma"/>
                  <a:cs typeface="Tahoma"/>
                </a:rPr>
                <a:t>van másik ajtó a garázson, ezért nem kell</a:t>
              </a:r>
            </a:p>
          </xdr:txBody>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20</xdr:col>
      <xdr:colOff>71438</xdr:colOff>
      <xdr:row>32</xdr:row>
      <xdr:rowOff>90488</xdr:rowOff>
    </xdr:from>
    <xdr:to>
      <xdr:col>22</xdr:col>
      <xdr:colOff>38100</xdr:colOff>
      <xdr:row>36</xdr:row>
      <xdr:rowOff>4763</xdr:rowOff>
    </xdr:to>
    <xdr:sp macro="" textlink="">
      <xdr:nvSpPr>
        <xdr:cNvPr id="39603" name="Line 3">
          <a:extLst>
            <a:ext uri="{FF2B5EF4-FFF2-40B4-BE49-F238E27FC236}">
              <a16:creationId xmlns:a16="http://schemas.microsoft.com/office/drawing/2014/main" id="{00000000-0008-0000-0200-0000B39A0000}"/>
            </a:ext>
          </a:extLst>
        </xdr:cNvPr>
        <xdr:cNvSpPr>
          <a:spLocks noChangeShapeType="1"/>
        </xdr:cNvSpPr>
      </xdr:nvSpPr>
      <xdr:spPr bwMode="auto">
        <a:xfrm>
          <a:off x="4643438" y="5110163"/>
          <a:ext cx="423862" cy="49053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38100</xdr:colOff>
      <xdr:row>32</xdr:row>
      <xdr:rowOff>90488</xdr:rowOff>
    </xdr:from>
    <xdr:to>
      <xdr:col>5</xdr:col>
      <xdr:colOff>38100</xdr:colOff>
      <xdr:row>36</xdr:row>
      <xdr:rowOff>0</xdr:rowOff>
    </xdr:to>
    <xdr:sp macro="" textlink="">
      <xdr:nvSpPr>
        <xdr:cNvPr id="39604" name="Line 4">
          <a:extLst>
            <a:ext uri="{FF2B5EF4-FFF2-40B4-BE49-F238E27FC236}">
              <a16:creationId xmlns:a16="http://schemas.microsoft.com/office/drawing/2014/main" id="{00000000-0008-0000-0200-0000B49A0000}"/>
            </a:ext>
          </a:extLst>
        </xdr:cNvPr>
        <xdr:cNvSpPr>
          <a:spLocks noChangeShapeType="1"/>
        </xdr:cNvSpPr>
      </xdr:nvSpPr>
      <xdr:spPr bwMode="auto">
        <a:xfrm flipH="1">
          <a:off x="723900" y="5110163"/>
          <a:ext cx="457200" cy="4857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71438</xdr:colOff>
      <xdr:row>15</xdr:row>
      <xdr:rowOff>304800</xdr:rowOff>
    </xdr:from>
    <xdr:to>
      <xdr:col>22</xdr:col>
      <xdr:colOff>38100</xdr:colOff>
      <xdr:row>19</xdr:row>
      <xdr:rowOff>300038</xdr:rowOff>
    </xdr:to>
    <xdr:sp macro="" textlink="">
      <xdr:nvSpPr>
        <xdr:cNvPr id="39605" name="Line 5">
          <a:extLst>
            <a:ext uri="{FF2B5EF4-FFF2-40B4-BE49-F238E27FC236}">
              <a16:creationId xmlns:a16="http://schemas.microsoft.com/office/drawing/2014/main" id="{00000000-0008-0000-0200-0000B59A0000}"/>
            </a:ext>
          </a:extLst>
        </xdr:cNvPr>
        <xdr:cNvSpPr>
          <a:spLocks noChangeShapeType="1"/>
        </xdr:cNvSpPr>
      </xdr:nvSpPr>
      <xdr:spPr bwMode="auto">
        <a:xfrm flipV="1">
          <a:off x="4643438" y="2652713"/>
          <a:ext cx="423862" cy="6477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16</xdr:row>
      <xdr:rowOff>38100</xdr:rowOff>
    </xdr:from>
    <xdr:to>
      <xdr:col>5</xdr:col>
      <xdr:colOff>38100</xdr:colOff>
      <xdr:row>19</xdr:row>
      <xdr:rowOff>300038</xdr:rowOff>
    </xdr:to>
    <xdr:sp macro="" textlink="">
      <xdr:nvSpPr>
        <xdr:cNvPr id="39606" name="Line 6">
          <a:extLst>
            <a:ext uri="{FF2B5EF4-FFF2-40B4-BE49-F238E27FC236}">
              <a16:creationId xmlns:a16="http://schemas.microsoft.com/office/drawing/2014/main" id="{00000000-0008-0000-0200-0000B69A0000}"/>
            </a:ext>
          </a:extLst>
        </xdr:cNvPr>
        <xdr:cNvSpPr>
          <a:spLocks noChangeShapeType="1"/>
        </xdr:cNvSpPr>
      </xdr:nvSpPr>
      <xdr:spPr bwMode="auto">
        <a:xfrm flipH="1" flipV="1">
          <a:off x="685800" y="2690813"/>
          <a:ext cx="495300" cy="6096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147638</xdr:colOff>
      <xdr:row>28</xdr:row>
      <xdr:rowOff>4763</xdr:rowOff>
    </xdr:from>
    <xdr:to>
      <xdr:col>6</xdr:col>
      <xdr:colOff>0</xdr:colOff>
      <xdr:row>28</xdr:row>
      <xdr:rowOff>4763</xdr:rowOff>
    </xdr:to>
    <xdr:sp macro="" textlink="">
      <xdr:nvSpPr>
        <xdr:cNvPr id="39607" name="Line 7">
          <a:extLst>
            <a:ext uri="{FF2B5EF4-FFF2-40B4-BE49-F238E27FC236}">
              <a16:creationId xmlns:a16="http://schemas.microsoft.com/office/drawing/2014/main" id="{00000000-0008-0000-0200-0000B79A0000}"/>
            </a:ext>
          </a:extLst>
        </xdr:cNvPr>
        <xdr:cNvSpPr>
          <a:spLocks noChangeShapeType="1"/>
        </xdr:cNvSpPr>
      </xdr:nvSpPr>
      <xdr:spPr bwMode="auto">
        <a:xfrm>
          <a:off x="147638" y="4238625"/>
          <a:ext cx="1223962"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38100</xdr:colOff>
      <xdr:row>28</xdr:row>
      <xdr:rowOff>0</xdr:rowOff>
    </xdr:from>
    <xdr:to>
      <xdr:col>17</xdr:col>
      <xdr:colOff>171450</xdr:colOff>
      <xdr:row>28</xdr:row>
      <xdr:rowOff>0</xdr:rowOff>
    </xdr:to>
    <xdr:sp macro="" textlink="">
      <xdr:nvSpPr>
        <xdr:cNvPr id="39608" name="Line 8">
          <a:extLst>
            <a:ext uri="{FF2B5EF4-FFF2-40B4-BE49-F238E27FC236}">
              <a16:creationId xmlns:a16="http://schemas.microsoft.com/office/drawing/2014/main" id="{00000000-0008-0000-0200-0000B89A0000}"/>
            </a:ext>
          </a:extLst>
        </xdr:cNvPr>
        <xdr:cNvSpPr>
          <a:spLocks noChangeShapeType="1"/>
        </xdr:cNvSpPr>
      </xdr:nvSpPr>
      <xdr:spPr bwMode="auto">
        <a:xfrm>
          <a:off x="3924300" y="4233863"/>
          <a:ext cx="13335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457200</xdr:colOff>
      <xdr:row>28</xdr:row>
      <xdr:rowOff>4763</xdr:rowOff>
    </xdr:from>
    <xdr:to>
      <xdr:col>8</xdr:col>
      <xdr:colOff>38100</xdr:colOff>
      <xdr:row>28</xdr:row>
      <xdr:rowOff>4763</xdr:rowOff>
    </xdr:to>
    <xdr:sp macro="" textlink="">
      <xdr:nvSpPr>
        <xdr:cNvPr id="39609" name="Line 9">
          <a:extLst>
            <a:ext uri="{FF2B5EF4-FFF2-40B4-BE49-F238E27FC236}">
              <a16:creationId xmlns:a16="http://schemas.microsoft.com/office/drawing/2014/main" id="{00000000-0008-0000-0200-0000B99A0000}"/>
            </a:ext>
          </a:extLst>
        </xdr:cNvPr>
        <xdr:cNvSpPr>
          <a:spLocks noChangeShapeType="1"/>
        </xdr:cNvSpPr>
      </xdr:nvSpPr>
      <xdr:spPr bwMode="auto">
        <a:xfrm flipH="1" flipV="1">
          <a:off x="1600200" y="4238625"/>
          <a:ext cx="26670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38100</xdr:colOff>
      <xdr:row>19</xdr:row>
      <xdr:rowOff>300038</xdr:rowOff>
    </xdr:from>
    <xdr:to>
      <xdr:col>5</xdr:col>
      <xdr:colOff>38100</xdr:colOff>
      <xdr:row>32</xdr:row>
      <xdr:rowOff>90488</xdr:rowOff>
    </xdr:to>
    <xdr:sp macro="" textlink="">
      <xdr:nvSpPr>
        <xdr:cNvPr id="39610" name="Line 10">
          <a:extLst>
            <a:ext uri="{FF2B5EF4-FFF2-40B4-BE49-F238E27FC236}">
              <a16:creationId xmlns:a16="http://schemas.microsoft.com/office/drawing/2014/main" id="{00000000-0008-0000-0200-0000BA9A0000}"/>
            </a:ext>
          </a:extLst>
        </xdr:cNvPr>
        <xdr:cNvSpPr>
          <a:spLocks noChangeShapeType="1"/>
        </xdr:cNvSpPr>
      </xdr:nvSpPr>
      <xdr:spPr bwMode="auto">
        <a:xfrm>
          <a:off x="1181100" y="3300413"/>
          <a:ext cx="0" cy="18097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38100</xdr:colOff>
      <xdr:row>19</xdr:row>
      <xdr:rowOff>300038</xdr:rowOff>
    </xdr:from>
    <xdr:to>
      <xdr:col>20</xdr:col>
      <xdr:colOff>38100</xdr:colOff>
      <xdr:row>19</xdr:row>
      <xdr:rowOff>300038</xdr:rowOff>
    </xdr:to>
    <xdr:sp macro="" textlink="">
      <xdr:nvSpPr>
        <xdr:cNvPr id="39611" name="Line 11">
          <a:extLst>
            <a:ext uri="{FF2B5EF4-FFF2-40B4-BE49-F238E27FC236}">
              <a16:creationId xmlns:a16="http://schemas.microsoft.com/office/drawing/2014/main" id="{00000000-0008-0000-0200-0000BB9A0000}"/>
            </a:ext>
          </a:extLst>
        </xdr:cNvPr>
        <xdr:cNvSpPr>
          <a:spLocks noChangeShapeType="1"/>
        </xdr:cNvSpPr>
      </xdr:nvSpPr>
      <xdr:spPr bwMode="auto">
        <a:xfrm>
          <a:off x="1181100" y="3300413"/>
          <a:ext cx="34290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71438</xdr:colOff>
      <xdr:row>19</xdr:row>
      <xdr:rowOff>300038</xdr:rowOff>
    </xdr:from>
    <xdr:to>
      <xdr:col>20</xdr:col>
      <xdr:colOff>71438</xdr:colOff>
      <xdr:row>32</xdr:row>
      <xdr:rowOff>90488</xdr:rowOff>
    </xdr:to>
    <xdr:sp macro="" textlink="">
      <xdr:nvSpPr>
        <xdr:cNvPr id="39612" name="Line 12">
          <a:extLst>
            <a:ext uri="{FF2B5EF4-FFF2-40B4-BE49-F238E27FC236}">
              <a16:creationId xmlns:a16="http://schemas.microsoft.com/office/drawing/2014/main" id="{00000000-0008-0000-0200-0000BC9A0000}"/>
            </a:ext>
          </a:extLst>
        </xdr:cNvPr>
        <xdr:cNvSpPr>
          <a:spLocks noChangeShapeType="1"/>
        </xdr:cNvSpPr>
      </xdr:nvSpPr>
      <xdr:spPr bwMode="auto">
        <a:xfrm>
          <a:off x="4643438" y="3300413"/>
          <a:ext cx="0" cy="18097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38100</xdr:colOff>
      <xdr:row>32</xdr:row>
      <xdr:rowOff>90488</xdr:rowOff>
    </xdr:from>
    <xdr:to>
      <xdr:col>7</xdr:col>
      <xdr:colOff>38100</xdr:colOff>
      <xdr:row>32</xdr:row>
      <xdr:rowOff>90488</xdr:rowOff>
    </xdr:to>
    <xdr:sp macro="" textlink="">
      <xdr:nvSpPr>
        <xdr:cNvPr id="39613" name="Line 13">
          <a:extLst>
            <a:ext uri="{FF2B5EF4-FFF2-40B4-BE49-F238E27FC236}">
              <a16:creationId xmlns:a16="http://schemas.microsoft.com/office/drawing/2014/main" id="{00000000-0008-0000-0200-0000BD9A0000}"/>
            </a:ext>
          </a:extLst>
        </xdr:cNvPr>
        <xdr:cNvSpPr>
          <a:spLocks noChangeShapeType="1"/>
        </xdr:cNvSpPr>
      </xdr:nvSpPr>
      <xdr:spPr bwMode="auto">
        <a:xfrm>
          <a:off x="1181100" y="5110163"/>
          <a:ext cx="4572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38100</xdr:colOff>
      <xdr:row>32</xdr:row>
      <xdr:rowOff>90488</xdr:rowOff>
    </xdr:from>
    <xdr:to>
      <xdr:col>20</xdr:col>
      <xdr:colOff>71438</xdr:colOff>
      <xdr:row>32</xdr:row>
      <xdr:rowOff>90488</xdr:rowOff>
    </xdr:to>
    <xdr:sp macro="" textlink="">
      <xdr:nvSpPr>
        <xdr:cNvPr id="39614" name="Line 14">
          <a:extLst>
            <a:ext uri="{FF2B5EF4-FFF2-40B4-BE49-F238E27FC236}">
              <a16:creationId xmlns:a16="http://schemas.microsoft.com/office/drawing/2014/main" id="{00000000-0008-0000-0200-0000BE9A0000}"/>
            </a:ext>
          </a:extLst>
        </xdr:cNvPr>
        <xdr:cNvSpPr>
          <a:spLocks noChangeShapeType="1"/>
        </xdr:cNvSpPr>
      </xdr:nvSpPr>
      <xdr:spPr bwMode="auto">
        <a:xfrm flipH="1">
          <a:off x="4152900" y="5110163"/>
          <a:ext cx="490538"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419100</xdr:colOff>
      <xdr:row>25</xdr:row>
      <xdr:rowOff>4763</xdr:rowOff>
    </xdr:from>
    <xdr:to>
      <xdr:col>6</xdr:col>
      <xdr:colOff>419100</xdr:colOff>
      <xdr:row>32</xdr:row>
      <xdr:rowOff>90488</xdr:rowOff>
    </xdr:to>
    <xdr:sp macro="" textlink="">
      <xdr:nvSpPr>
        <xdr:cNvPr id="39615" name="Line 15">
          <a:extLst>
            <a:ext uri="{FF2B5EF4-FFF2-40B4-BE49-F238E27FC236}">
              <a16:creationId xmlns:a16="http://schemas.microsoft.com/office/drawing/2014/main" id="{00000000-0008-0000-0200-0000BF9A0000}"/>
            </a:ext>
          </a:extLst>
        </xdr:cNvPr>
        <xdr:cNvSpPr>
          <a:spLocks noChangeShapeType="1"/>
        </xdr:cNvSpPr>
      </xdr:nvSpPr>
      <xdr:spPr bwMode="auto">
        <a:xfrm flipV="1">
          <a:off x="1600200" y="3752850"/>
          <a:ext cx="0" cy="1357313"/>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25</xdr:row>
      <xdr:rowOff>4763</xdr:rowOff>
    </xdr:from>
    <xdr:to>
      <xdr:col>18</xdr:col>
      <xdr:colOff>0</xdr:colOff>
      <xdr:row>32</xdr:row>
      <xdr:rowOff>90488</xdr:rowOff>
    </xdr:to>
    <xdr:sp macro="" textlink="">
      <xdr:nvSpPr>
        <xdr:cNvPr id="39616" name="Line 16">
          <a:extLst>
            <a:ext uri="{FF2B5EF4-FFF2-40B4-BE49-F238E27FC236}">
              <a16:creationId xmlns:a16="http://schemas.microsoft.com/office/drawing/2014/main" id="{00000000-0008-0000-0200-0000C09A0000}"/>
            </a:ext>
          </a:extLst>
        </xdr:cNvPr>
        <xdr:cNvSpPr>
          <a:spLocks noChangeShapeType="1"/>
        </xdr:cNvSpPr>
      </xdr:nvSpPr>
      <xdr:spPr bwMode="auto">
        <a:xfrm flipV="1">
          <a:off x="4114800" y="3752850"/>
          <a:ext cx="0" cy="1357313"/>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25</xdr:row>
      <xdr:rowOff>4763</xdr:rowOff>
    </xdr:from>
    <xdr:to>
      <xdr:col>17</xdr:col>
      <xdr:colOff>419100</xdr:colOff>
      <xdr:row>25</xdr:row>
      <xdr:rowOff>4763</xdr:rowOff>
    </xdr:to>
    <xdr:sp macro="" textlink="">
      <xdr:nvSpPr>
        <xdr:cNvPr id="39617" name="Line 17">
          <a:extLst>
            <a:ext uri="{FF2B5EF4-FFF2-40B4-BE49-F238E27FC236}">
              <a16:creationId xmlns:a16="http://schemas.microsoft.com/office/drawing/2014/main" id="{00000000-0008-0000-0200-0000C19A0000}"/>
            </a:ext>
          </a:extLst>
        </xdr:cNvPr>
        <xdr:cNvSpPr>
          <a:spLocks noChangeShapeType="1"/>
        </xdr:cNvSpPr>
      </xdr:nvSpPr>
      <xdr:spPr bwMode="auto">
        <a:xfrm flipH="1">
          <a:off x="1600200" y="3752850"/>
          <a:ext cx="25146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38100</xdr:colOff>
      <xdr:row>31</xdr:row>
      <xdr:rowOff>300038</xdr:rowOff>
    </xdr:from>
    <xdr:to>
      <xdr:col>7</xdr:col>
      <xdr:colOff>100013</xdr:colOff>
      <xdr:row>32</xdr:row>
      <xdr:rowOff>90488</xdr:rowOff>
    </xdr:to>
    <xdr:sp macro="" textlink="">
      <xdr:nvSpPr>
        <xdr:cNvPr id="39618" name="Line 19">
          <a:extLst>
            <a:ext uri="{FF2B5EF4-FFF2-40B4-BE49-F238E27FC236}">
              <a16:creationId xmlns:a16="http://schemas.microsoft.com/office/drawing/2014/main" id="{00000000-0008-0000-0200-0000C29A0000}"/>
            </a:ext>
          </a:extLst>
        </xdr:cNvPr>
        <xdr:cNvSpPr>
          <a:spLocks noChangeShapeType="1"/>
        </xdr:cNvSpPr>
      </xdr:nvSpPr>
      <xdr:spPr bwMode="auto">
        <a:xfrm flipV="1">
          <a:off x="1638300" y="5072063"/>
          <a:ext cx="61913" cy="381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100013</xdr:colOff>
      <xdr:row>25</xdr:row>
      <xdr:rowOff>152400</xdr:rowOff>
    </xdr:from>
    <xdr:to>
      <xdr:col>7</xdr:col>
      <xdr:colOff>100013</xdr:colOff>
      <xdr:row>31</xdr:row>
      <xdr:rowOff>300038</xdr:rowOff>
    </xdr:to>
    <xdr:sp macro="" textlink="">
      <xdr:nvSpPr>
        <xdr:cNvPr id="39619" name="Line 20">
          <a:extLst>
            <a:ext uri="{FF2B5EF4-FFF2-40B4-BE49-F238E27FC236}">
              <a16:creationId xmlns:a16="http://schemas.microsoft.com/office/drawing/2014/main" id="{00000000-0008-0000-0200-0000C39A0000}"/>
            </a:ext>
          </a:extLst>
        </xdr:cNvPr>
        <xdr:cNvSpPr>
          <a:spLocks noChangeShapeType="1"/>
        </xdr:cNvSpPr>
      </xdr:nvSpPr>
      <xdr:spPr bwMode="auto">
        <a:xfrm flipV="1">
          <a:off x="1700213" y="3900488"/>
          <a:ext cx="0" cy="11715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25</xdr:row>
      <xdr:rowOff>4763</xdr:rowOff>
    </xdr:from>
    <xdr:to>
      <xdr:col>7</xdr:col>
      <xdr:colOff>100013</xdr:colOff>
      <xdr:row>25</xdr:row>
      <xdr:rowOff>119063</xdr:rowOff>
    </xdr:to>
    <xdr:sp macro="" textlink="">
      <xdr:nvSpPr>
        <xdr:cNvPr id="39620" name="Line 21">
          <a:extLst>
            <a:ext uri="{FF2B5EF4-FFF2-40B4-BE49-F238E27FC236}">
              <a16:creationId xmlns:a16="http://schemas.microsoft.com/office/drawing/2014/main" id="{00000000-0008-0000-0200-0000C49A0000}"/>
            </a:ext>
          </a:extLst>
        </xdr:cNvPr>
        <xdr:cNvSpPr>
          <a:spLocks noChangeShapeType="1"/>
        </xdr:cNvSpPr>
      </xdr:nvSpPr>
      <xdr:spPr bwMode="auto">
        <a:xfrm>
          <a:off x="1600200" y="3752850"/>
          <a:ext cx="100013" cy="1143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147638</xdr:colOff>
      <xdr:row>25</xdr:row>
      <xdr:rowOff>152400</xdr:rowOff>
    </xdr:from>
    <xdr:to>
      <xdr:col>17</xdr:col>
      <xdr:colOff>385763</xdr:colOff>
      <xdr:row>25</xdr:row>
      <xdr:rowOff>152400</xdr:rowOff>
    </xdr:to>
    <xdr:sp macro="" textlink="">
      <xdr:nvSpPr>
        <xdr:cNvPr id="39621" name="Line 22">
          <a:extLst>
            <a:ext uri="{FF2B5EF4-FFF2-40B4-BE49-F238E27FC236}">
              <a16:creationId xmlns:a16="http://schemas.microsoft.com/office/drawing/2014/main" id="{00000000-0008-0000-0200-0000C59A0000}"/>
            </a:ext>
          </a:extLst>
        </xdr:cNvPr>
        <xdr:cNvSpPr>
          <a:spLocks noChangeShapeType="1"/>
        </xdr:cNvSpPr>
      </xdr:nvSpPr>
      <xdr:spPr bwMode="auto">
        <a:xfrm>
          <a:off x="1747838" y="3900488"/>
          <a:ext cx="2366962"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357188</xdr:colOff>
      <xdr:row>25</xdr:row>
      <xdr:rowOff>4763</xdr:rowOff>
    </xdr:from>
    <xdr:to>
      <xdr:col>18</xdr:col>
      <xdr:colOff>0</xdr:colOff>
      <xdr:row>25</xdr:row>
      <xdr:rowOff>166688</xdr:rowOff>
    </xdr:to>
    <xdr:sp macro="" textlink="">
      <xdr:nvSpPr>
        <xdr:cNvPr id="39622" name="Line 23">
          <a:extLst>
            <a:ext uri="{FF2B5EF4-FFF2-40B4-BE49-F238E27FC236}">
              <a16:creationId xmlns:a16="http://schemas.microsoft.com/office/drawing/2014/main" id="{00000000-0008-0000-0200-0000C69A0000}"/>
            </a:ext>
          </a:extLst>
        </xdr:cNvPr>
        <xdr:cNvSpPr>
          <a:spLocks noChangeShapeType="1"/>
        </xdr:cNvSpPr>
      </xdr:nvSpPr>
      <xdr:spPr bwMode="auto">
        <a:xfrm flipH="1">
          <a:off x="4114800" y="3752850"/>
          <a:ext cx="0" cy="157163"/>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357188</xdr:colOff>
      <xdr:row>25</xdr:row>
      <xdr:rowOff>152400</xdr:rowOff>
    </xdr:from>
    <xdr:to>
      <xdr:col>17</xdr:col>
      <xdr:colOff>357188</xdr:colOff>
      <xdr:row>31</xdr:row>
      <xdr:rowOff>300038</xdr:rowOff>
    </xdr:to>
    <xdr:sp macro="" textlink="">
      <xdr:nvSpPr>
        <xdr:cNvPr id="39623" name="Line 24">
          <a:extLst>
            <a:ext uri="{FF2B5EF4-FFF2-40B4-BE49-F238E27FC236}">
              <a16:creationId xmlns:a16="http://schemas.microsoft.com/office/drawing/2014/main" id="{00000000-0008-0000-0200-0000C79A0000}"/>
            </a:ext>
          </a:extLst>
        </xdr:cNvPr>
        <xdr:cNvSpPr>
          <a:spLocks noChangeShapeType="1"/>
        </xdr:cNvSpPr>
      </xdr:nvSpPr>
      <xdr:spPr bwMode="auto">
        <a:xfrm>
          <a:off x="4114800" y="3900488"/>
          <a:ext cx="0" cy="11715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357188</xdr:colOff>
      <xdr:row>31</xdr:row>
      <xdr:rowOff>300038</xdr:rowOff>
    </xdr:from>
    <xdr:to>
      <xdr:col>18</xdr:col>
      <xdr:colOff>0</xdr:colOff>
      <xdr:row>32</xdr:row>
      <xdr:rowOff>90488</xdr:rowOff>
    </xdr:to>
    <xdr:sp macro="" textlink="">
      <xdr:nvSpPr>
        <xdr:cNvPr id="39624" name="Line 25">
          <a:extLst>
            <a:ext uri="{FF2B5EF4-FFF2-40B4-BE49-F238E27FC236}">
              <a16:creationId xmlns:a16="http://schemas.microsoft.com/office/drawing/2014/main" id="{00000000-0008-0000-0200-0000C89A0000}"/>
            </a:ext>
          </a:extLst>
        </xdr:cNvPr>
        <xdr:cNvSpPr>
          <a:spLocks noChangeShapeType="1"/>
        </xdr:cNvSpPr>
      </xdr:nvSpPr>
      <xdr:spPr bwMode="auto">
        <a:xfrm flipH="1" flipV="1">
          <a:off x="4114800" y="5072063"/>
          <a:ext cx="0" cy="381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38100</xdr:colOff>
      <xdr:row>28</xdr:row>
      <xdr:rowOff>0</xdr:rowOff>
    </xdr:from>
    <xdr:to>
      <xdr:col>24</xdr:col>
      <xdr:colOff>419100</xdr:colOff>
      <xdr:row>28</xdr:row>
      <xdr:rowOff>0</xdr:rowOff>
    </xdr:to>
    <xdr:sp macro="" textlink="">
      <xdr:nvSpPr>
        <xdr:cNvPr id="39625" name="Line 26">
          <a:extLst>
            <a:ext uri="{FF2B5EF4-FFF2-40B4-BE49-F238E27FC236}">
              <a16:creationId xmlns:a16="http://schemas.microsoft.com/office/drawing/2014/main" id="{00000000-0008-0000-0200-0000C99A0000}"/>
            </a:ext>
          </a:extLst>
        </xdr:cNvPr>
        <xdr:cNvSpPr>
          <a:spLocks noChangeShapeType="1"/>
        </xdr:cNvSpPr>
      </xdr:nvSpPr>
      <xdr:spPr bwMode="auto">
        <a:xfrm flipH="1" flipV="1">
          <a:off x="4381500" y="4233863"/>
          <a:ext cx="133350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12</xdr:col>
      <xdr:colOff>357188</xdr:colOff>
      <xdr:row>32</xdr:row>
      <xdr:rowOff>90488</xdr:rowOff>
    </xdr:from>
    <xdr:to>
      <xdr:col>16</xdr:col>
      <xdr:colOff>242888</xdr:colOff>
      <xdr:row>32</xdr:row>
      <xdr:rowOff>90488</xdr:rowOff>
    </xdr:to>
    <xdr:sp macro="" textlink="">
      <xdr:nvSpPr>
        <xdr:cNvPr id="39626" name="Line 27">
          <a:extLst>
            <a:ext uri="{FF2B5EF4-FFF2-40B4-BE49-F238E27FC236}">
              <a16:creationId xmlns:a16="http://schemas.microsoft.com/office/drawing/2014/main" id="{00000000-0008-0000-0200-0000CA9A0000}"/>
            </a:ext>
          </a:extLst>
        </xdr:cNvPr>
        <xdr:cNvSpPr>
          <a:spLocks noChangeShapeType="1"/>
        </xdr:cNvSpPr>
      </xdr:nvSpPr>
      <xdr:spPr bwMode="auto">
        <a:xfrm flipH="1">
          <a:off x="2971800" y="5110163"/>
          <a:ext cx="9144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357188</xdr:colOff>
      <xdr:row>31</xdr:row>
      <xdr:rowOff>300038</xdr:rowOff>
    </xdr:from>
    <xdr:to>
      <xdr:col>16</xdr:col>
      <xdr:colOff>0</xdr:colOff>
      <xdr:row>32</xdr:row>
      <xdr:rowOff>90488</xdr:rowOff>
    </xdr:to>
    <xdr:sp macro="" textlink="">
      <xdr:nvSpPr>
        <xdr:cNvPr id="39627" name="Line 28">
          <a:extLst>
            <a:ext uri="{FF2B5EF4-FFF2-40B4-BE49-F238E27FC236}">
              <a16:creationId xmlns:a16="http://schemas.microsoft.com/office/drawing/2014/main" id="{00000000-0008-0000-0200-0000CB9A0000}"/>
            </a:ext>
          </a:extLst>
        </xdr:cNvPr>
        <xdr:cNvSpPr>
          <a:spLocks noChangeShapeType="1"/>
        </xdr:cNvSpPr>
      </xdr:nvSpPr>
      <xdr:spPr bwMode="auto">
        <a:xfrm>
          <a:off x="3657600" y="5072063"/>
          <a:ext cx="0" cy="381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0</xdr:colOff>
      <xdr:row>31</xdr:row>
      <xdr:rowOff>4763</xdr:rowOff>
    </xdr:from>
    <xdr:to>
      <xdr:col>16</xdr:col>
      <xdr:colOff>204788</xdr:colOff>
      <xdr:row>32</xdr:row>
      <xdr:rowOff>90488</xdr:rowOff>
    </xdr:to>
    <xdr:sp macro="" textlink="">
      <xdr:nvSpPr>
        <xdr:cNvPr id="39628" name="Line 29">
          <a:extLst>
            <a:ext uri="{FF2B5EF4-FFF2-40B4-BE49-F238E27FC236}">
              <a16:creationId xmlns:a16="http://schemas.microsoft.com/office/drawing/2014/main" id="{00000000-0008-0000-0200-0000CC9A0000}"/>
            </a:ext>
          </a:extLst>
        </xdr:cNvPr>
        <xdr:cNvSpPr>
          <a:spLocks noChangeShapeType="1"/>
        </xdr:cNvSpPr>
      </xdr:nvSpPr>
      <xdr:spPr bwMode="auto">
        <a:xfrm flipV="1">
          <a:off x="3657600" y="4914900"/>
          <a:ext cx="204788" cy="195263"/>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204788</xdr:colOff>
      <xdr:row>31</xdr:row>
      <xdr:rowOff>4763</xdr:rowOff>
    </xdr:from>
    <xdr:to>
      <xdr:col>17</xdr:col>
      <xdr:colOff>266700</xdr:colOff>
      <xdr:row>31</xdr:row>
      <xdr:rowOff>4763</xdr:rowOff>
    </xdr:to>
    <xdr:sp macro="" textlink="">
      <xdr:nvSpPr>
        <xdr:cNvPr id="39629" name="Line 30">
          <a:extLst>
            <a:ext uri="{FF2B5EF4-FFF2-40B4-BE49-F238E27FC236}">
              <a16:creationId xmlns:a16="http://schemas.microsoft.com/office/drawing/2014/main" id="{00000000-0008-0000-0200-0000CD9A0000}"/>
            </a:ext>
          </a:extLst>
        </xdr:cNvPr>
        <xdr:cNvSpPr>
          <a:spLocks noChangeShapeType="1"/>
        </xdr:cNvSpPr>
      </xdr:nvSpPr>
      <xdr:spPr bwMode="auto">
        <a:xfrm>
          <a:off x="3862388" y="4914900"/>
          <a:ext cx="252412"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0</xdr:colOff>
      <xdr:row>25</xdr:row>
      <xdr:rowOff>4763</xdr:rowOff>
    </xdr:from>
    <xdr:to>
      <xdr:col>13</xdr:col>
      <xdr:colOff>0</xdr:colOff>
      <xdr:row>30</xdr:row>
      <xdr:rowOff>71438</xdr:rowOff>
    </xdr:to>
    <xdr:sp macro="" textlink="">
      <xdr:nvSpPr>
        <xdr:cNvPr id="39630" name="Line 32">
          <a:extLst>
            <a:ext uri="{FF2B5EF4-FFF2-40B4-BE49-F238E27FC236}">
              <a16:creationId xmlns:a16="http://schemas.microsoft.com/office/drawing/2014/main" id="{00000000-0008-0000-0200-0000CE9A0000}"/>
            </a:ext>
          </a:extLst>
        </xdr:cNvPr>
        <xdr:cNvSpPr>
          <a:spLocks noChangeShapeType="1"/>
        </xdr:cNvSpPr>
      </xdr:nvSpPr>
      <xdr:spPr bwMode="auto">
        <a:xfrm flipV="1">
          <a:off x="2971800" y="3752850"/>
          <a:ext cx="0" cy="93345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15</xdr:col>
      <xdr:colOff>0</xdr:colOff>
      <xdr:row>22</xdr:row>
      <xdr:rowOff>114300</xdr:rowOff>
    </xdr:from>
    <xdr:to>
      <xdr:col>15</xdr:col>
      <xdr:colOff>0</xdr:colOff>
      <xdr:row>29</xdr:row>
      <xdr:rowOff>261938</xdr:rowOff>
    </xdr:to>
    <xdr:sp macro="" textlink="">
      <xdr:nvSpPr>
        <xdr:cNvPr id="39631" name="Line 33">
          <a:extLst>
            <a:ext uri="{FF2B5EF4-FFF2-40B4-BE49-F238E27FC236}">
              <a16:creationId xmlns:a16="http://schemas.microsoft.com/office/drawing/2014/main" id="{00000000-0008-0000-0200-0000CF9A0000}"/>
            </a:ext>
          </a:extLst>
        </xdr:cNvPr>
        <xdr:cNvSpPr>
          <a:spLocks noChangeShapeType="1"/>
        </xdr:cNvSpPr>
      </xdr:nvSpPr>
      <xdr:spPr bwMode="auto">
        <a:xfrm flipV="1">
          <a:off x="3429000" y="3576638"/>
          <a:ext cx="0" cy="10382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15</xdr:col>
      <xdr:colOff>0</xdr:colOff>
      <xdr:row>29</xdr:row>
      <xdr:rowOff>100013</xdr:rowOff>
    </xdr:from>
    <xdr:to>
      <xdr:col>15</xdr:col>
      <xdr:colOff>0</xdr:colOff>
      <xdr:row>32</xdr:row>
      <xdr:rowOff>90488</xdr:rowOff>
    </xdr:to>
    <xdr:sp macro="" textlink="">
      <xdr:nvSpPr>
        <xdr:cNvPr id="39632" name="Line 34">
          <a:extLst>
            <a:ext uri="{FF2B5EF4-FFF2-40B4-BE49-F238E27FC236}">
              <a16:creationId xmlns:a16="http://schemas.microsoft.com/office/drawing/2014/main" id="{00000000-0008-0000-0200-0000D09A0000}"/>
            </a:ext>
          </a:extLst>
        </xdr:cNvPr>
        <xdr:cNvSpPr>
          <a:spLocks noChangeShapeType="1"/>
        </xdr:cNvSpPr>
      </xdr:nvSpPr>
      <xdr:spPr bwMode="auto">
        <a:xfrm>
          <a:off x="3429000" y="4495800"/>
          <a:ext cx="0" cy="614363"/>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13</xdr:col>
      <xdr:colOff>0</xdr:colOff>
      <xdr:row>29</xdr:row>
      <xdr:rowOff>100013</xdr:rowOff>
    </xdr:from>
    <xdr:to>
      <xdr:col>13</xdr:col>
      <xdr:colOff>0</xdr:colOff>
      <xdr:row>32</xdr:row>
      <xdr:rowOff>90488</xdr:rowOff>
    </xdr:to>
    <xdr:sp macro="" textlink="">
      <xdr:nvSpPr>
        <xdr:cNvPr id="39633" name="Line 35">
          <a:extLst>
            <a:ext uri="{FF2B5EF4-FFF2-40B4-BE49-F238E27FC236}">
              <a16:creationId xmlns:a16="http://schemas.microsoft.com/office/drawing/2014/main" id="{00000000-0008-0000-0200-0000D19A0000}"/>
            </a:ext>
          </a:extLst>
        </xdr:cNvPr>
        <xdr:cNvSpPr>
          <a:spLocks noChangeShapeType="1"/>
        </xdr:cNvSpPr>
      </xdr:nvSpPr>
      <xdr:spPr bwMode="auto">
        <a:xfrm>
          <a:off x="2971800" y="4495800"/>
          <a:ext cx="0" cy="614363"/>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0</xdr:colOff>
      <xdr:row>20</xdr:row>
      <xdr:rowOff>0</xdr:rowOff>
    </xdr:from>
    <xdr:to>
      <xdr:col>37</xdr:col>
      <xdr:colOff>419100</xdr:colOff>
      <xdr:row>20</xdr:row>
      <xdr:rowOff>0</xdr:rowOff>
    </xdr:to>
    <xdr:sp macro="" textlink="">
      <xdr:nvSpPr>
        <xdr:cNvPr id="39634" name="Line 36">
          <a:extLst>
            <a:ext uri="{FF2B5EF4-FFF2-40B4-BE49-F238E27FC236}">
              <a16:creationId xmlns:a16="http://schemas.microsoft.com/office/drawing/2014/main" id="{00000000-0008-0000-0200-0000D29A0000}"/>
            </a:ext>
          </a:extLst>
        </xdr:cNvPr>
        <xdr:cNvSpPr>
          <a:spLocks noChangeShapeType="1"/>
        </xdr:cNvSpPr>
      </xdr:nvSpPr>
      <xdr:spPr bwMode="auto">
        <a:xfrm>
          <a:off x="6400800" y="3300413"/>
          <a:ext cx="22383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28</xdr:col>
      <xdr:colOff>0</xdr:colOff>
      <xdr:row>20</xdr:row>
      <xdr:rowOff>0</xdr:rowOff>
    </xdr:from>
    <xdr:to>
      <xdr:col>28</xdr:col>
      <xdr:colOff>0</xdr:colOff>
      <xdr:row>32</xdr:row>
      <xdr:rowOff>71438</xdr:rowOff>
    </xdr:to>
    <xdr:sp macro="" textlink="">
      <xdr:nvSpPr>
        <xdr:cNvPr id="39635" name="Line 37">
          <a:extLst>
            <a:ext uri="{FF2B5EF4-FFF2-40B4-BE49-F238E27FC236}">
              <a16:creationId xmlns:a16="http://schemas.microsoft.com/office/drawing/2014/main" id="{00000000-0008-0000-0200-0000D39A0000}"/>
            </a:ext>
          </a:extLst>
        </xdr:cNvPr>
        <xdr:cNvSpPr>
          <a:spLocks noChangeShapeType="1"/>
        </xdr:cNvSpPr>
      </xdr:nvSpPr>
      <xdr:spPr bwMode="auto">
        <a:xfrm>
          <a:off x="6400800" y="3300413"/>
          <a:ext cx="0" cy="18097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26</xdr:col>
      <xdr:colOff>100013</xdr:colOff>
      <xdr:row>33</xdr:row>
      <xdr:rowOff>0</xdr:rowOff>
    </xdr:from>
    <xdr:to>
      <xdr:col>38</xdr:col>
      <xdr:colOff>38100</xdr:colOff>
      <xdr:row>33</xdr:row>
      <xdr:rowOff>0</xdr:rowOff>
    </xdr:to>
    <xdr:sp macro="" textlink="">
      <xdr:nvSpPr>
        <xdr:cNvPr id="39636" name="Line 38">
          <a:extLst>
            <a:ext uri="{FF2B5EF4-FFF2-40B4-BE49-F238E27FC236}">
              <a16:creationId xmlns:a16="http://schemas.microsoft.com/office/drawing/2014/main" id="{00000000-0008-0000-0200-0000D49A0000}"/>
            </a:ext>
          </a:extLst>
        </xdr:cNvPr>
        <xdr:cNvSpPr>
          <a:spLocks noChangeShapeType="1"/>
        </xdr:cNvSpPr>
      </xdr:nvSpPr>
      <xdr:spPr bwMode="auto">
        <a:xfrm>
          <a:off x="6043613" y="5110163"/>
          <a:ext cx="2633662"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0</xdr:colOff>
      <xdr:row>19</xdr:row>
      <xdr:rowOff>0</xdr:rowOff>
    </xdr:from>
    <xdr:to>
      <xdr:col>27</xdr:col>
      <xdr:colOff>0</xdr:colOff>
      <xdr:row>33</xdr:row>
      <xdr:rowOff>0</xdr:rowOff>
    </xdr:to>
    <xdr:sp macro="" textlink="">
      <xdr:nvSpPr>
        <xdr:cNvPr id="39637" name="Line 39">
          <a:extLst>
            <a:ext uri="{FF2B5EF4-FFF2-40B4-BE49-F238E27FC236}">
              <a16:creationId xmlns:a16="http://schemas.microsoft.com/office/drawing/2014/main" id="{00000000-0008-0000-0200-0000D59A0000}"/>
            </a:ext>
          </a:extLst>
        </xdr:cNvPr>
        <xdr:cNvSpPr>
          <a:spLocks noChangeShapeType="1"/>
        </xdr:cNvSpPr>
      </xdr:nvSpPr>
      <xdr:spPr bwMode="auto">
        <a:xfrm flipV="1">
          <a:off x="6172200" y="3138488"/>
          <a:ext cx="0" cy="19716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0</xdr:colOff>
      <xdr:row>24</xdr:row>
      <xdr:rowOff>152400</xdr:rowOff>
    </xdr:from>
    <xdr:to>
      <xdr:col>28</xdr:col>
      <xdr:colOff>0</xdr:colOff>
      <xdr:row>24</xdr:row>
      <xdr:rowOff>152400</xdr:rowOff>
    </xdr:to>
    <xdr:sp macro="" textlink="">
      <xdr:nvSpPr>
        <xdr:cNvPr id="39638" name="Line 40">
          <a:extLst>
            <a:ext uri="{FF2B5EF4-FFF2-40B4-BE49-F238E27FC236}">
              <a16:creationId xmlns:a16="http://schemas.microsoft.com/office/drawing/2014/main" id="{00000000-0008-0000-0200-0000D69A0000}"/>
            </a:ext>
          </a:extLst>
        </xdr:cNvPr>
        <xdr:cNvSpPr>
          <a:spLocks noChangeShapeType="1"/>
        </xdr:cNvSpPr>
      </xdr:nvSpPr>
      <xdr:spPr bwMode="auto">
        <a:xfrm>
          <a:off x="6172200" y="3748088"/>
          <a:ext cx="2286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419100</xdr:colOff>
      <xdr:row>27</xdr:row>
      <xdr:rowOff>4763</xdr:rowOff>
    </xdr:from>
    <xdr:to>
      <xdr:col>30</xdr:col>
      <xdr:colOff>319088</xdr:colOff>
      <xdr:row>27</xdr:row>
      <xdr:rowOff>4763</xdr:rowOff>
    </xdr:to>
    <xdr:sp macro="" textlink="">
      <xdr:nvSpPr>
        <xdr:cNvPr id="39639" name="Line 44">
          <a:extLst>
            <a:ext uri="{FF2B5EF4-FFF2-40B4-BE49-F238E27FC236}">
              <a16:creationId xmlns:a16="http://schemas.microsoft.com/office/drawing/2014/main" id="{00000000-0008-0000-0200-0000D79A0000}"/>
            </a:ext>
          </a:extLst>
        </xdr:cNvPr>
        <xdr:cNvSpPr>
          <a:spLocks noChangeShapeType="1"/>
        </xdr:cNvSpPr>
      </xdr:nvSpPr>
      <xdr:spPr bwMode="auto">
        <a:xfrm flipH="1">
          <a:off x="6400800" y="4076700"/>
          <a:ext cx="63817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266700</xdr:colOff>
      <xdr:row>27</xdr:row>
      <xdr:rowOff>4763</xdr:rowOff>
    </xdr:from>
    <xdr:to>
      <xdr:col>36</xdr:col>
      <xdr:colOff>419100</xdr:colOff>
      <xdr:row>27</xdr:row>
      <xdr:rowOff>4763</xdr:rowOff>
    </xdr:to>
    <xdr:sp macro="" textlink="">
      <xdr:nvSpPr>
        <xdr:cNvPr id="39640" name="Line 46">
          <a:extLst>
            <a:ext uri="{FF2B5EF4-FFF2-40B4-BE49-F238E27FC236}">
              <a16:creationId xmlns:a16="http://schemas.microsoft.com/office/drawing/2014/main" id="{00000000-0008-0000-0200-0000D89A0000}"/>
            </a:ext>
          </a:extLst>
        </xdr:cNvPr>
        <xdr:cNvSpPr>
          <a:spLocks noChangeShapeType="1"/>
        </xdr:cNvSpPr>
      </xdr:nvSpPr>
      <xdr:spPr bwMode="auto">
        <a:xfrm>
          <a:off x="7038975" y="4076700"/>
          <a:ext cx="137160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27</xdr:col>
      <xdr:colOff>419100</xdr:colOff>
      <xdr:row>30</xdr:row>
      <xdr:rowOff>0</xdr:rowOff>
    </xdr:from>
    <xdr:to>
      <xdr:col>31</xdr:col>
      <xdr:colOff>71438</xdr:colOff>
      <xdr:row>30</xdr:row>
      <xdr:rowOff>0</xdr:rowOff>
    </xdr:to>
    <xdr:sp macro="" textlink="">
      <xdr:nvSpPr>
        <xdr:cNvPr id="39641" name="Line 48">
          <a:extLst>
            <a:ext uri="{FF2B5EF4-FFF2-40B4-BE49-F238E27FC236}">
              <a16:creationId xmlns:a16="http://schemas.microsoft.com/office/drawing/2014/main" id="{00000000-0008-0000-0200-0000D99A0000}"/>
            </a:ext>
          </a:extLst>
        </xdr:cNvPr>
        <xdr:cNvSpPr>
          <a:spLocks noChangeShapeType="1"/>
        </xdr:cNvSpPr>
      </xdr:nvSpPr>
      <xdr:spPr bwMode="auto">
        <a:xfrm flipH="1">
          <a:off x="6400800" y="4614863"/>
          <a:ext cx="709613"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266700</xdr:colOff>
      <xdr:row>30</xdr:row>
      <xdr:rowOff>0</xdr:rowOff>
    </xdr:from>
    <xdr:to>
      <xdr:col>34</xdr:col>
      <xdr:colOff>0</xdr:colOff>
      <xdr:row>30</xdr:row>
      <xdr:rowOff>0</xdr:rowOff>
    </xdr:to>
    <xdr:sp macro="" textlink="">
      <xdr:nvSpPr>
        <xdr:cNvPr id="39642" name="Line 49">
          <a:extLst>
            <a:ext uri="{FF2B5EF4-FFF2-40B4-BE49-F238E27FC236}">
              <a16:creationId xmlns:a16="http://schemas.microsoft.com/office/drawing/2014/main" id="{00000000-0008-0000-0200-0000DA9A0000}"/>
            </a:ext>
          </a:extLst>
        </xdr:cNvPr>
        <xdr:cNvSpPr>
          <a:spLocks noChangeShapeType="1"/>
        </xdr:cNvSpPr>
      </xdr:nvSpPr>
      <xdr:spPr bwMode="auto">
        <a:xfrm>
          <a:off x="7038975" y="4614863"/>
          <a:ext cx="68580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editAs="oneCell">
    <xdr:from>
      <xdr:col>35</xdr:col>
      <xdr:colOff>357188</xdr:colOff>
      <xdr:row>0</xdr:row>
      <xdr:rowOff>4763</xdr:rowOff>
    </xdr:from>
    <xdr:to>
      <xdr:col>39</xdr:col>
      <xdr:colOff>190500</xdr:colOff>
      <xdr:row>5</xdr:row>
      <xdr:rowOff>38100</xdr:rowOff>
    </xdr:to>
    <xdr:pic>
      <xdr:nvPicPr>
        <xdr:cNvPr id="39643" name="Picture 58" descr="hörmann logó 2">
          <a:extLst>
            <a:ext uri="{FF2B5EF4-FFF2-40B4-BE49-F238E27FC236}">
              <a16:creationId xmlns:a16="http://schemas.microsoft.com/office/drawing/2014/main" id="{00000000-0008-0000-0200-0000DB9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181975" y="4763"/>
          <a:ext cx="876300" cy="9191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19049</xdr:colOff>
      <xdr:row>0</xdr:row>
      <xdr:rowOff>119061</xdr:rowOff>
    </xdr:from>
    <xdr:to>
      <xdr:col>5</xdr:col>
      <xdr:colOff>125411</xdr:colOff>
      <xdr:row>1</xdr:row>
      <xdr:rowOff>128442</xdr:rowOff>
    </xdr:to>
    <xdr:pic>
      <xdr:nvPicPr>
        <xdr:cNvPr id="39645" name="Picture 103" descr=",kék mallerhu">
          <a:extLst>
            <a:ext uri="{FF2B5EF4-FFF2-40B4-BE49-F238E27FC236}">
              <a16:creationId xmlns:a16="http://schemas.microsoft.com/office/drawing/2014/main" id="{00000000-0008-0000-0200-0000DD9A0000}"/>
            </a:ext>
          </a:extLst>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b="28115"/>
        <a:stretch/>
      </xdr:blipFill>
      <xdr:spPr bwMode="auto">
        <a:xfrm>
          <a:off x="19049" y="119061"/>
          <a:ext cx="1252538" cy="2443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190500</xdr:colOff>
      <xdr:row>28</xdr:row>
      <xdr:rowOff>4763</xdr:rowOff>
    </xdr:from>
    <xdr:to>
      <xdr:col>8</xdr:col>
      <xdr:colOff>38100</xdr:colOff>
      <xdr:row>28</xdr:row>
      <xdr:rowOff>4763</xdr:rowOff>
    </xdr:to>
    <xdr:sp macro="" textlink="">
      <xdr:nvSpPr>
        <xdr:cNvPr id="39646" name="Line 27">
          <a:extLst>
            <a:ext uri="{FF2B5EF4-FFF2-40B4-BE49-F238E27FC236}">
              <a16:creationId xmlns:a16="http://schemas.microsoft.com/office/drawing/2014/main" id="{00000000-0008-0000-0200-0000DE9A0000}"/>
            </a:ext>
          </a:extLst>
        </xdr:cNvPr>
        <xdr:cNvSpPr>
          <a:spLocks noChangeShapeType="1"/>
        </xdr:cNvSpPr>
      </xdr:nvSpPr>
      <xdr:spPr bwMode="auto">
        <a:xfrm flipH="1">
          <a:off x="1104900" y="4238625"/>
          <a:ext cx="7620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319088</xdr:colOff>
      <xdr:row>28</xdr:row>
      <xdr:rowOff>0</xdr:rowOff>
    </xdr:from>
    <xdr:to>
      <xdr:col>20</xdr:col>
      <xdr:colOff>204788</xdr:colOff>
      <xdr:row>28</xdr:row>
      <xdr:rowOff>0</xdr:rowOff>
    </xdr:to>
    <xdr:sp macro="" textlink="">
      <xdr:nvSpPr>
        <xdr:cNvPr id="39647" name="Line 27">
          <a:extLst>
            <a:ext uri="{FF2B5EF4-FFF2-40B4-BE49-F238E27FC236}">
              <a16:creationId xmlns:a16="http://schemas.microsoft.com/office/drawing/2014/main" id="{00000000-0008-0000-0200-0000DF9A0000}"/>
            </a:ext>
          </a:extLst>
        </xdr:cNvPr>
        <xdr:cNvSpPr>
          <a:spLocks noChangeShapeType="1"/>
        </xdr:cNvSpPr>
      </xdr:nvSpPr>
      <xdr:spPr bwMode="auto">
        <a:xfrm flipH="1">
          <a:off x="3886200" y="4233863"/>
          <a:ext cx="890588"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35</xdr:row>
      <xdr:rowOff>38100</xdr:rowOff>
    </xdr:from>
    <xdr:to>
      <xdr:col>12</xdr:col>
      <xdr:colOff>38100</xdr:colOff>
      <xdr:row>35</xdr:row>
      <xdr:rowOff>38100</xdr:rowOff>
    </xdr:to>
    <xdr:sp macro="" textlink="">
      <xdr:nvSpPr>
        <xdr:cNvPr id="39648" name="Line 9">
          <a:extLst>
            <a:ext uri="{FF2B5EF4-FFF2-40B4-BE49-F238E27FC236}">
              <a16:creationId xmlns:a16="http://schemas.microsoft.com/office/drawing/2014/main" id="{00000000-0008-0000-0200-0000E09A0000}"/>
            </a:ext>
          </a:extLst>
        </xdr:cNvPr>
        <xdr:cNvSpPr>
          <a:spLocks noChangeShapeType="1"/>
        </xdr:cNvSpPr>
      </xdr:nvSpPr>
      <xdr:spPr bwMode="auto">
        <a:xfrm flipH="1" flipV="1">
          <a:off x="1600200" y="5472113"/>
          <a:ext cx="118110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10</xdr:col>
      <xdr:colOff>385763</xdr:colOff>
      <xdr:row>35</xdr:row>
      <xdr:rowOff>38100</xdr:rowOff>
    </xdr:from>
    <xdr:to>
      <xdr:col>17</xdr:col>
      <xdr:colOff>419100</xdr:colOff>
      <xdr:row>35</xdr:row>
      <xdr:rowOff>38100</xdr:rowOff>
    </xdr:to>
    <xdr:sp macro="" textlink="">
      <xdr:nvSpPr>
        <xdr:cNvPr id="39649" name="Line 8">
          <a:extLst>
            <a:ext uri="{FF2B5EF4-FFF2-40B4-BE49-F238E27FC236}">
              <a16:creationId xmlns:a16="http://schemas.microsoft.com/office/drawing/2014/main" id="{00000000-0008-0000-0200-0000E19A0000}"/>
            </a:ext>
          </a:extLst>
        </xdr:cNvPr>
        <xdr:cNvSpPr>
          <a:spLocks noChangeShapeType="1"/>
        </xdr:cNvSpPr>
      </xdr:nvSpPr>
      <xdr:spPr bwMode="auto">
        <a:xfrm>
          <a:off x="2514600" y="5472113"/>
          <a:ext cx="160020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5</xdr:col>
      <xdr:colOff>723900</xdr:colOff>
      <xdr:row>39</xdr:row>
      <xdr:rowOff>419100</xdr:rowOff>
    </xdr:from>
    <xdr:to>
      <xdr:col>8</xdr:col>
      <xdr:colOff>962025</xdr:colOff>
      <xdr:row>42</xdr:row>
      <xdr:rowOff>533400</xdr:rowOff>
    </xdr:to>
    <xdr:pic>
      <xdr:nvPicPr>
        <xdr:cNvPr id="37814" name="Picture 1">
          <a:extLst>
            <a:ext uri="{FF2B5EF4-FFF2-40B4-BE49-F238E27FC236}">
              <a16:creationId xmlns:a16="http://schemas.microsoft.com/office/drawing/2014/main" id="{00000000-0008-0000-0300-0000B69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91313" y="11839575"/>
          <a:ext cx="1976437" cy="1343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4</xdr:col>
      <xdr:colOff>266700</xdr:colOff>
      <xdr:row>30</xdr:row>
      <xdr:rowOff>61913</xdr:rowOff>
    </xdr:from>
    <xdr:to>
      <xdr:col>8</xdr:col>
      <xdr:colOff>709613</xdr:colOff>
      <xdr:row>34</xdr:row>
      <xdr:rowOff>190500</xdr:rowOff>
    </xdr:to>
    <xdr:pic>
      <xdr:nvPicPr>
        <xdr:cNvPr id="37816" name="Picture 6">
          <a:extLst>
            <a:ext uri="{FF2B5EF4-FFF2-40B4-BE49-F238E27FC236}">
              <a16:creationId xmlns:a16="http://schemas.microsoft.com/office/drawing/2014/main" id="{00000000-0008-0000-0300-0000B89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062663" y="8101013"/>
          <a:ext cx="2605087" cy="1257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3</xdr:col>
      <xdr:colOff>190500</xdr:colOff>
      <xdr:row>35</xdr:row>
      <xdr:rowOff>285750</xdr:rowOff>
    </xdr:from>
    <xdr:to>
      <xdr:col>3</xdr:col>
      <xdr:colOff>3686175</xdr:colOff>
      <xdr:row>35</xdr:row>
      <xdr:rowOff>2838450</xdr:rowOff>
    </xdr:to>
    <xdr:pic>
      <xdr:nvPicPr>
        <xdr:cNvPr id="37817" name="Picture 7">
          <a:extLst>
            <a:ext uri="{FF2B5EF4-FFF2-40B4-BE49-F238E27FC236}">
              <a16:creationId xmlns:a16="http://schemas.microsoft.com/office/drawing/2014/main" id="{00000000-0008-0000-0300-0000B993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38238" y="9644063"/>
          <a:ext cx="3495675" cy="1371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4</xdr:col>
      <xdr:colOff>233363</xdr:colOff>
      <xdr:row>35</xdr:row>
      <xdr:rowOff>1452563</xdr:rowOff>
    </xdr:from>
    <xdr:to>
      <xdr:col>8</xdr:col>
      <xdr:colOff>785813</xdr:colOff>
      <xdr:row>35</xdr:row>
      <xdr:rowOff>2671763</xdr:rowOff>
    </xdr:to>
    <xdr:pic>
      <xdr:nvPicPr>
        <xdr:cNvPr id="37818" name="Picture 8">
          <a:extLst>
            <a:ext uri="{FF2B5EF4-FFF2-40B4-BE49-F238E27FC236}">
              <a16:creationId xmlns:a16="http://schemas.microsoft.com/office/drawing/2014/main" id="{00000000-0008-0000-0300-0000BA93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t="48413"/>
        <a:stretch>
          <a:fillRect/>
        </a:stretch>
      </xdr:blipFill>
      <xdr:spPr bwMode="auto">
        <a:xfrm>
          <a:off x="6062663" y="10810875"/>
          <a:ext cx="2605087" cy="2047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5</xdr:col>
      <xdr:colOff>261938</xdr:colOff>
      <xdr:row>46</xdr:row>
      <xdr:rowOff>0</xdr:rowOff>
    </xdr:from>
    <xdr:to>
      <xdr:col>8</xdr:col>
      <xdr:colOff>371475</xdr:colOff>
      <xdr:row>50</xdr:row>
      <xdr:rowOff>166688</xdr:rowOff>
    </xdr:to>
    <xdr:pic>
      <xdr:nvPicPr>
        <xdr:cNvPr id="37819" name="Picture 9">
          <a:extLst>
            <a:ext uri="{FF2B5EF4-FFF2-40B4-BE49-F238E27FC236}">
              <a16:creationId xmlns:a16="http://schemas.microsoft.com/office/drawing/2014/main" id="{00000000-0008-0000-0300-0000BB9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324600" y="13873163"/>
          <a:ext cx="2057400" cy="9953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5</xdr:col>
      <xdr:colOff>114300</xdr:colOff>
      <xdr:row>63</xdr:row>
      <xdr:rowOff>304800</xdr:rowOff>
    </xdr:from>
    <xdr:to>
      <xdr:col>7</xdr:col>
      <xdr:colOff>966788</xdr:colOff>
      <xdr:row>68</xdr:row>
      <xdr:rowOff>595313</xdr:rowOff>
    </xdr:to>
    <xdr:pic>
      <xdr:nvPicPr>
        <xdr:cNvPr id="37820" name="Picture 10">
          <a:extLst>
            <a:ext uri="{FF2B5EF4-FFF2-40B4-BE49-F238E27FC236}">
              <a16:creationId xmlns:a16="http://schemas.microsoft.com/office/drawing/2014/main" id="{00000000-0008-0000-0300-0000BC9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176963" y="17468850"/>
          <a:ext cx="1833562" cy="14716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7</xdr:col>
      <xdr:colOff>504825</xdr:colOff>
      <xdr:row>68</xdr:row>
      <xdr:rowOff>109538</xdr:rowOff>
    </xdr:from>
    <xdr:to>
      <xdr:col>8</xdr:col>
      <xdr:colOff>690563</xdr:colOff>
      <xdr:row>70</xdr:row>
      <xdr:rowOff>38100</xdr:rowOff>
    </xdr:to>
    <xdr:pic>
      <xdr:nvPicPr>
        <xdr:cNvPr id="37821" name="Picture 11">
          <a:extLst>
            <a:ext uri="{FF2B5EF4-FFF2-40B4-BE49-F238E27FC236}">
              <a16:creationId xmlns:a16="http://schemas.microsoft.com/office/drawing/2014/main" id="{00000000-0008-0000-0300-0000BD9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853363" y="18721388"/>
          <a:ext cx="814387" cy="4238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4</xdr:col>
      <xdr:colOff>214313</xdr:colOff>
      <xdr:row>37</xdr:row>
      <xdr:rowOff>61913</xdr:rowOff>
    </xdr:from>
    <xdr:to>
      <xdr:col>6</xdr:col>
      <xdr:colOff>1057275</xdr:colOff>
      <xdr:row>39</xdr:row>
      <xdr:rowOff>538163</xdr:rowOff>
    </xdr:to>
    <xdr:pic>
      <xdr:nvPicPr>
        <xdr:cNvPr id="37822" name="Picture 12">
          <a:extLst>
            <a:ext uri="{FF2B5EF4-FFF2-40B4-BE49-F238E27FC236}">
              <a16:creationId xmlns:a16="http://schemas.microsoft.com/office/drawing/2014/main" id="{00000000-0008-0000-0300-0000BE93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l="33247" t="69444" r="41406" b="14120"/>
        <a:stretch>
          <a:fillRect/>
        </a:stretch>
      </xdr:blipFill>
      <xdr:spPr bwMode="auto">
        <a:xfrm>
          <a:off x="6062663" y="11244263"/>
          <a:ext cx="1285875" cy="5953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5</xdr:col>
      <xdr:colOff>261938</xdr:colOff>
      <xdr:row>90</xdr:row>
      <xdr:rowOff>166688</xdr:rowOff>
    </xdr:from>
    <xdr:to>
      <xdr:col>8</xdr:col>
      <xdr:colOff>457200</xdr:colOff>
      <xdr:row>96</xdr:row>
      <xdr:rowOff>190500</xdr:rowOff>
    </xdr:to>
    <xdr:pic>
      <xdr:nvPicPr>
        <xdr:cNvPr id="37823" name="Picture 13">
          <a:extLst>
            <a:ext uri="{FF2B5EF4-FFF2-40B4-BE49-F238E27FC236}">
              <a16:creationId xmlns:a16="http://schemas.microsoft.com/office/drawing/2014/main" id="{00000000-0008-0000-0300-0000BF93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6324600" y="25712738"/>
          <a:ext cx="2143125" cy="148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5</xdr:col>
      <xdr:colOff>681038</xdr:colOff>
      <xdr:row>85</xdr:row>
      <xdr:rowOff>90488</xdr:rowOff>
    </xdr:from>
    <xdr:to>
      <xdr:col>7</xdr:col>
      <xdr:colOff>1243013</xdr:colOff>
      <xdr:row>88</xdr:row>
      <xdr:rowOff>342900</xdr:rowOff>
    </xdr:to>
    <xdr:pic>
      <xdr:nvPicPr>
        <xdr:cNvPr id="37824" name="Picture 14">
          <a:extLst>
            <a:ext uri="{FF2B5EF4-FFF2-40B4-BE49-F238E27FC236}">
              <a16:creationId xmlns:a16="http://schemas.microsoft.com/office/drawing/2014/main" id="{00000000-0008-0000-0300-0000C093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6691313" y="24103013"/>
          <a:ext cx="1319212"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5</xdr:col>
      <xdr:colOff>300038</xdr:colOff>
      <xdr:row>103</xdr:row>
      <xdr:rowOff>138113</xdr:rowOff>
    </xdr:from>
    <xdr:to>
      <xdr:col>8</xdr:col>
      <xdr:colOff>466725</xdr:colOff>
      <xdr:row>107</xdr:row>
      <xdr:rowOff>1214438</xdr:rowOff>
    </xdr:to>
    <xdr:pic>
      <xdr:nvPicPr>
        <xdr:cNvPr id="37825" name="Picture 15">
          <a:extLst>
            <a:ext uri="{FF2B5EF4-FFF2-40B4-BE49-F238E27FC236}">
              <a16:creationId xmlns:a16="http://schemas.microsoft.com/office/drawing/2014/main" id="{00000000-0008-0000-0300-0000C19300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6362700" y="28336875"/>
          <a:ext cx="2114550" cy="1666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5</xdr:col>
      <xdr:colOff>300038</xdr:colOff>
      <xdr:row>97</xdr:row>
      <xdr:rowOff>109538</xdr:rowOff>
    </xdr:from>
    <xdr:to>
      <xdr:col>6</xdr:col>
      <xdr:colOff>923925</xdr:colOff>
      <xdr:row>102</xdr:row>
      <xdr:rowOff>166688</xdr:rowOff>
    </xdr:to>
    <xdr:pic>
      <xdr:nvPicPr>
        <xdr:cNvPr id="37826" name="Picture 16">
          <a:extLst>
            <a:ext uri="{FF2B5EF4-FFF2-40B4-BE49-F238E27FC236}">
              <a16:creationId xmlns:a16="http://schemas.microsoft.com/office/drawing/2014/main" id="{00000000-0008-0000-0300-0000C293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l="44801" t="18288" r="44705" b="68124"/>
        <a:stretch>
          <a:fillRect/>
        </a:stretch>
      </xdr:blipFill>
      <xdr:spPr bwMode="auto">
        <a:xfrm>
          <a:off x="6362700" y="27308175"/>
          <a:ext cx="985838" cy="8905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6</xdr:col>
      <xdr:colOff>1238250</xdr:colOff>
      <xdr:row>97</xdr:row>
      <xdr:rowOff>114300</xdr:rowOff>
    </xdr:from>
    <xdr:to>
      <xdr:col>8</xdr:col>
      <xdr:colOff>495300</xdr:colOff>
      <xdr:row>102</xdr:row>
      <xdr:rowOff>166688</xdr:rowOff>
    </xdr:to>
    <xdr:pic>
      <xdr:nvPicPr>
        <xdr:cNvPr id="37827" name="Picture 18">
          <a:extLst>
            <a:ext uri="{FF2B5EF4-FFF2-40B4-BE49-F238E27FC236}">
              <a16:creationId xmlns:a16="http://schemas.microsoft.com/office/drawing/2014/main" id="{00000000-0008-0000-0300-0000C393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l="44183" t="78835" r="44011" b="6116"/>
        <a:stretch>
          <a:fillRect/>
        </a:stretch>
      </xdr:blipFill>
      <xdr:spPr bwMode="auto">
        <a:xfrm>
          <a:off x="7348538" y="27312938"/>
          <a:ext cx="1157287"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5</xdr:col>
      <xdr:colOff>700088</xdr:colOff>
      <xdr:row>75</xdr:row>
      <xdr:rowOff>304800</xdr:rowOff>
    </xdr:from>
    <xdr:to>
      <xdr:col>7</xdr:col>
      <xdr:colOff>1204913</xdr:colOff>
      <xdr:row>78</xdr:row>
      <xdr:rowOff>1366838</xdr:rowOff>
    </xdr:to>
    <xdr:pic>
      <xdr:nvPicPr>
        <xdr:cNvPr id="37828" name="Picture 19">
          <a:extLst>
            <a:ext uri="{FF2B5EF4-FFF2-40B4-BE49-F238E27FC236}">
              <a16:creationId xmlns:a16="http://schemas.microsoft.com/office/drawing/2014/main" id="{00000000-0008-0000-0300-0000C493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l="46164" t="19041" r="41698" b="68982"/>
        <a:stretch>
          <a:fillRect/>
        </a:stretch>
      </xdr:blipFill>
      <xdr:spPr bwMode="auto">
        <a:xfrm>
          <a:off x="6691313" y="20564475"/>
          <a:ext cx="1319212" cy="12620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5</xdr:col>
      <xdr:colOff>620712</xdr:colOff>
      <xdr:row>80</xdr:row>
      <xdr:rowOff>87313</xdr:rowOff>
    </xdr:from>
    <xdr:to>
      <xdr:col>7</xdr:col>
      <xdr:colOff>655637</xdr:colOff>
      <xdr:row>82</xdr:row>
      <xdr:rowOff>539751</xdr:rowOff>
    </xdr:to>
    <xdr:pic>
      <xdr:nvPicPr>
        <xdr:cNvPr id="37829" name="Picture 21">
          <a:extLst>
            <a:ext uri="{FF2B5EF4-FFF2-40B4-BE49-F238E27FC236}">
              <a16:creationId xmlns:a16="http://schemas.microsoft.com/office/drawing/2014/main" id="{00000000-0008-0000-0300-0000C593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l="33247" t="19041" r="54459" b="68982"/>
        <a:stretch>
          <a:fillRect/>
        </a:stretch>
      </xdr:blipFill>
      <xdr:spPr bwMode="auto">
        <a:xfrm>
          <a:off x="6691312" y="22172613"/>
          <a:ext cx="1323975" cy="11064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5</xdr:col>
      <xdr:colOff>147638</xdr:colOff>
      <xdr:row>70</xdr:row>
      <xdr:rowOff>242888</xdr:rowOff>
    </xdr:from>
    <xdr:to>
      <xdr:col>6</xdr:col>
      <xdr:colOff>785813</xdr:colOff>
      <xdr:row>74</xdr:row>
      <xdr:rowOff>266700</xdr:rowOff>
    </xdr:to>
    <xdr:pic>
      <xdr:nvPicPr>
        <xdr:cNvPr id="37830" name="Picture 25">
          <a:extLst>
            <a:ext uri="{FF2B5EF4-FFF2-40B4-BE49-F238E27FC236}">
              <a16:creationId xmlns:a16="http://schemas.microsoft.com/office/drawing/2014/main" id="{00000000-0008-0000-0300-0000C6930000}"/>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6210300" y="19273838"/>
          <a:ext cx="1138238" cy="9858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6</xdr:col>
      <xdr:colOff>1009650</xdr:colOff>
      <xdr:row>70</xdr:row>
      <xdr:rowOff>190500</xdr:rowOff>
    </xdr:from>
    <xdr:to>
      <xdr:col>8</xdr:col>
      <xdr:colOff>690563</xdr:colOff>
      <xdr:row>74</xdr:row>
      <xdr:rowOff>261938</xdr:rowOff>
    </xdr:to>
    <xdr:pic>
      <xdr:nvPicPr>
        <xdr:cNvPr id="37831" name="Picture 26">
          <a:extLst>
            <a:ext uri="{FF2B5EF4-FFF2-40B4-BE49-F238E27FC236}">
              <a16:creationId xmlns:a16="http://schemas.microsoft.com/office/drawing/2014/main" id="{00000000-0008-0000-0300-0000C7930000}"/>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7348538" y="19273838"/>
          <a:ext cx="1319212" cy="9858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4</xdr:col>
      <xdr:colOff>352425</xdr:colOff>
      <xdr:row>112</xdr:row>
      <xdr:rowOff>242888</xdr:rowOff>
    </xdr:from>
    <xdr:to>
      <xdr:col>7</xdr:col>
      <xdr:colOff>1004888</xdr:colOff>
      <xdr:row>114</xdr:row>
      <xdr:rowOff>261938</xdr:rowOff>
    </xdr:to>
    <xdr:pic>
      <xdr:nvPicPr>
        <xdr:cNvPr id="37832" name="Picture 28">
          <a:extLst>
            <a:ext uri="{FF2B5EF4-FFF2-40B4-BE49-F238E27FC236}">
              <a16:creationId xmlns:a16="http://schemas.microsoft.com/office/drawing/2014/main" id="{00000000-0008-0000-0300-0000C8930000}"/>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6062663" y="30999113"/>
          <a:ext cx="1947862"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7</xdr:col>
      <xdr:colOff>157163</xdr:colOff>
      <xdr:row>111</xdr:row>
      <xdr:rowOff>138113</xdr:rowOff>
    </xdr:from>
    <xdr:to>
      <xdr:col>8</xdr:col>
      <xdr:colOff>547688</xdr:colOff>
      <xdr:row>113</xdr:row>
      <xdr:rowOff>461963</xdr:rowOff>
    </xdr:to>
    <xdr:pic>
      <xdr:nvPicPr>
        <xdr:cNvPr id="37833" name="Picture 29">
          <a:extLst>
            <a:ext uri="{FF2B5EF4-FFF2-40B4-BE49-F238E27FC236}">
              <a16:creationId xmlns:a16="http://schemas.microsoft.com/office/drawing/2014/main" id="{00000000-0008-0000-0300-0000C993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7505700" y="30641925"/>
          <a:ext cx="1052513"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31750</xdr:colOff>
      <xdr:row>0</xdr:row>
      <xdr:rowOff>57151</xdr:rowOff>
    </xdr:from>
    <xdr:to>
      <xdr:col>3</xdr:col>
      <xdr:colOff>393700</xdr:colOff>
      <xdr:row>0</xdr:row>
      <xdr:rowOff>374401</xdr:rowOff>
    </xdr:to>
    <xdr:pic>
      <xdr:nvPicPr>
        <xdr:cNvPr id="37834" name="Picture 30" descr=",kék mallerhu">
          <a:extLst>
            <a:ext uri="{FF2B5EF4-FFF2-40B4-BE49-F238E27FC236}">
              <a16:creationId xmlns:a16="http://schemas.microsoft.com/office/drawing/2014/main" id="{00000000-0008-0000-0300-0000CA930000}"/>
            </a:ext>
          </a:extLst>
        </xdr:cNvPr>
        <xdr:cNvPicPr>
          <a:picLocks noChangeAspect="1" noChangeArrowheads="1"/>
        </xdr:cNvPicPr>
      </xdr:nvPicPr>
      <xdr:blipFill rotWithShape="1">
        <a:blip xmlns:r="http://schemas.openxmlformats.org/officeDocument/2006/relationships" r:embed="rId17" cstate="print">
          <a:extLst>
            <a:ext uri="{28A0092B-C50C-407E-A947-70E740481C1C}">
              <a14:useLocalDpi xmlns:a14="http://schemas.microsoft.com/office/drawing/2010/main" val="0"/>
            </a:ext>
          </a:extLst>
        </a:blip>
        <a:srcRect b="24744"/>
        <a:stretch/>
      </xdr:blipFill>
      <xdr:spPr bwMode="auto">
        <a:xfrm>
          <a:off x="31750" y="57151"/>
          <a:ext cx="1314450" cy="31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4761</xdr:colOff>
      <xdr:row>36</xdr:row>
      <xdr:rowOff>4761</xdr:rowOff>
    </xdr:from>
    <xdr:to>
      <xdr:col>7</xdr:col>
      <xdr:colOff>660324</xdr:colOff>
      <xdr:row>36</xdr:row>
      <xdr:rowOff>4761</xdr:rowOff>
    </xdr:to>
    <xdr:sp macro="" textlink="">
      <xdr:nvSpPr>
        <xdr:cNvPr id="24" name="Szövegdoboz 23">
          <a:extLst>
            <a:ext uri="{FF2B5EF4-FFF2-40B4-BE49-F238E27FC236}">
              <a16:creationId xmlns:a16="http://schemas.microsoft.com/office/drawing/2014/main" id="{00000000-0008-0000-0300-000018000000}"/>
            </a:ext>
          </a:extLst>
        </xdr:cNvPr>
        <xdr:cNvSpPr txBox="1"/>
      </xdr:nvSpPr>
      <xdr:spPr>
        <a:xfrm>
          <a:off x="6134100" y="9191625"/>
          <a:ext cx="1181100" cy="228600"/>
        </a:xfrm>
        <a:prstGeom prst="rect">
          <a:avLst/>
        </a:prstGeom>
        <a:solidFill>
          <a:srgbClr val="FFC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hu-HU" sz="1100"/>
            <a:t>dekor</a:t>
          </a:r>
          <a:r>
            <a:rPr lang="hu-HU" sz="1100" baseline="0"/>
            <a:t> felületek</a:t>
          </a:r>
          <a:endParaRPr lang="hu-HU" sz="1100"/>
        </a:p>
      </xdr:txBody>
    </xdr:sp>
    <xdr:clientData/>
  </xdr:twoCellAnchor>
  <xdr:twoCellAnchor>
    <xdr:from>
      <xdr:col>5</xdr:col>
      <xdr:colOff>611188</xdr:colOff>
      <xdr:row>29</xdr:row>
      <xdr:rowOff>2140</xdr:rowOff>
    </xdr:from>
    <xdr:to>
      <xdr:col>8</xdr:col>
      <xdr:colOff>52721</xdr:colOff>
      <xdr:row>30</xdr:row>
      <xdr:rowOff>114284</xdr:rowOff>
    </xdr:to>
    <xdr:sp macro="" textlink="">
      <xdr:nvSpPr>
        <xdr:cNvPr id="25" name="Szövegdoboz 24">
          <a:extLst>
            <a:ext uri="{FF2B5EF4-FFF2-40B4-BE49-F238E27FC236}">
              <a16:creationId xmlns:a16="http://schemas.microsoft.com/office/drawing/2014/main" id="{00000000-0008-0000-0300-000019000000}"/>
            </a:ext>
          </a:extLst>
        </xdr:cNvPr>
        <xdr:cNvSpPr txBox="1"/>
      </xdr:nvSpPr>
      <xdr:spPr>
        <a:xfrm>
          <a:off x="5959337" y="7926457"/>
          <a:ext cx="1545949" cy="283202"/>
        </a:xfrm>
        <a:prstGeom prst="rect">
          <a:avLst/>
        </a:prstGeom>
        <a:solidFill>
          <a:srgbClr val="FFC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hu-HU" sz="1100"/>
            <a:t>garázskapuk fából</a:t>
          </a:r>
        </a:p>
      </xdr:txBody>
    </xdr:sp>
    <xdr:clientData/>
  </xdr:twoCellAnchor>
  <xdr:twoCellAnchor>
    <xdr:from>
      <xdr:col>3</xdr:col>
      <xdr:colOff>2000518</xdr:colOff>
      <xdr:row>35</xdr:row>
      <xdr:rowOff>1656535</xdr:rowOff>
    </xdr:from>
    <xdr:to>
      <xdr:col>4</xdr:col>
      <xdr:colOff>122</xdr:colOff>
      <xdr:row>35</xdr:row>
      <xdr:rowOff>1656535</xdr:rowOff>
    </xdr:to>
    <xdr:sp macro="" textlink="">
      <xdr:nvSpPr>
        <xdr:cNvPr id="26" name="Szövegdoboz 25">
          <a:extLst>
            <a:ext uri="{FF2B5EF4-FFF2-40B4-BE49-F238E27FC236}">
              <a16:creationId xmlns:a16="http://schemas.microsoft.com/office/drawing/2014/main" id="{00000000-0008-0000-0300-00001A000000}"/>
            </a:ext>
          </a:extLst>
        </xdr:cNvPr>
        <xdr:cNvSpPr txBox="1"/>
      </xdr:nvSpPr>
      <xdr:spPr>
        <a:xfrm>
          <a:off x="1829067" y="9241610"/>
          <a:ext cx="2504477" cy="235765"/>
        </a:xfrm>
        <a:prstGeom prst="rect">
          <a:avLst/>
        </a:prstGeom>
        <a:solidFill>
          <a:srgbClr val="FFC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hu-HU" sz="1100"/>
            <a:t>kívül színes kapuk kedvezményes</a:t>
          </a:r>
          <a:r>
            <a:rPr lang="hu-HU" sz="1100" baseline="0"/>
            <a:t> színei</a:t>
          </a:r>
          <a:endParaRPr lang="hu-HU" sz="1100"/>
        </a:p>
      </xdr:txBody>
    </xdr:sp>
    <xdr:clientData/>
  </xdr:twoCellAnchor>
  <xdr:twoCellAnchor editAs="oneCell">
    <xdr:from>
      <xdr:col>4</xdr:col>
      <xdr:colOff>233363</xdr:colOff>
      <xdr:row>35</xdr:row>
      <xdr:rowOff>285750</xdr:rowOff>
    </xdr:from>
    <xdr:to>
      <xdr:col>8</xdr:col>
      <xdr:colOff>809625</xdr:colOff>
      <xdr:row>35</xdr:row>
      <xdr:rowOff>1490663</xdr:rowOff>
    </xdr:to>
    <xdr:pic>
      <xdr:nvPicPr>
        <xdr:cNvPr id="37839" name="Picture 8">
          <a:extLst>
            <a:ext uri="{FF2B5EF4-FFF2-40B4-BE49-F238E27FC236}">
              <a16:creationId xmlns:a16="http://schemas.microsoft.com/office/drawing/2014/main" id="{00000000-0008-0000-0300-0000CF93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33606" b="50000"/>
        <a:stretch>
          <a:fillRect/>
        </a:stretch>
      </xdr:blipFill>
      <xdr:spPr bwMode="auto">
        <a:xfrm>
          <a:off x="6062663" y="9644063"/>
          <a:ext cx="2605087" cy="12049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xdr:from>
      <xdr:col>5</xdr:col>
      <xdr:colOff>414338</xdr:colOff>
      <xdr:row>35</xdr:row>
      <xdr:rowOff>1103313</xdr:rowOff>
    </xdr:from>
    <xdr:to>
      <xdr:col>8</xdr:col>
      <xdr:colOff>219179</xdr:colOff>
      <xdr:row>35</xdr:row>
      <xdr:rowOff>1657245</xdr:rowOff>
    </xdr:to>
    <xdr:sp macro="" textlink="">
      <xdr:nvSpPr>
        <xdr:cNvPr id="27" name="Szövegdoboz 26">
          <a:extLst>
            <a:ext uri="{FF2B5EF4-FFF2-40B4-BE49-F238E27FC236}">
              <a16:creationId xmlns:a16="http://schemas.microsoft.com/office/drawing/2014/main" id="{00000000-0008-0000-0300-00001B000000}"/>
            </a:ext>
          </a:extLst>
        </xdr:cNvPr>
        <xdr:cNvSpPr txBox="1"/>
      </xdr:nvSpPr>
      <xdr:spPr>
        <a:xfrm>
          <a:off x="5857875" y="8410575"/>
          <a:ext cx="1733550" cy="361950"/>
        </a:xfrm>
        <a:prstGeom prst="rect">
          <a:avLst/>
        </a:prstGeom>
        <a:solidFill>
          <a:srgbClr val="FFC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hu-HU" sz="800"/>
            <a:t> dió,  mahagóni</a:t>
          </a:r>
        </a:p>
        <a:p>
          <a:pPr algn="ctr"/>
          <a:r>
            <a:rPr lang="hu-HU" sz="800"/>
            <a:t>aranytölgy, sötéttölgy,</a:t>
          </a:r>
          <a:r>
            <a:rPr lang="hu-HU" sz="800" baseline="0"/>
            <a:t> </a:t>
          </a:r>
          <a:r>
            <a:rPr lang="hu-HU" sz="800"/>
            <a:t>titan</a:t>
          </a:r>
          <a:r>
            <a:rPr lang="hu-HU" sz="800" baseline="0"/>
            <a:t> metalic</a:t>
          </a:r>
          <a:endParaRPr lang="hu-HU" sz="800"/>
        </a:p>
      </xdr:txBody>
    </xdr:sp>
    <xdr:clientData/>
  </xdr:twoCellAnchor>
  <xdr:twoCellAnchor editAs="oneCell">
    <xdr:from>
      <xdr:col>5</xdr:col>
      <xdr:colOff>147638</xdr:colOff>
      <xdr:row>53</xdr:row>
      <xdr:rowOff>38100</xdr:rowOff>
    </xdr:from>
    <xdr:to>
      <xdr:col>8</xdr:col>
      <xdr:colOff>690563</xdr:colOff>
      <xdr:row>57</xdr:row>
      <xdr:rowOff>109538</xdr:rowOff>
    </xdr:to>
    <xdr:pic>
      <xdr:nvPicPr>
        <xdr:cNvPr id="37841" name="Picture 2206">
          <a:extLst>
            <a:ext uri="{FF2B5EF4-FFF2-40B4-BE49-F238E27FC236}">
              <a16:creationId xmlns:a16="http://schemas.microsoft.com/office/drawing/2014/main" id="{00000000-0008-0000-0300-0000D19300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l="27042" t="17067" r="52586" b="68475"/>
        <a:stretch>
          <a:fillRect/>
        </a:stretch>
      </xdr:blipFill>
      <xdr:spPr bwMode="auto">
        <a:xfrm>
          <a:off x="6210300" y="15240000"/>
          <a:ext cx="2457450" cy="7381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5</xdr:col>
      <xdr:colOff>147638</xdr:colOff>
      <xdr:row>58</xdr:row>
      <xdr:rowOff>366713</xdr:rowOff>
    </xdr:from>
    <xdr:to>
      <xdr:col>6</xdr:col>
      <xdr:colOff>990600</xdr:colOff>
      <xdr:row>62</xdr:row>
      <xdr:rowOff>38100</xdr:rowOff>
    </xdr:to>
    <xdr:pic>
      <xdr:nvPicPr>
        <xdr:cNvPr id="37842" name="Picture 2207">
          <a:extLst>
            <a:ext uri="{FF2B5EF4-FFF2-40B4-BE49-F238E27FC236}">
              <a16:creationId xmlns:a16="http://schemas.microsoft.com/office/drawing/2014/main" id="{00000000-0008-0000-0300-0000D2930000}"/>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l="11224" t="41515" r="81503" b="43137"/>
        <a:stretch>
          <a:fillRect/>
        </a:stretch>
      </xdr:blipFill>
      <xdr:spPr bwMode="auto">
        <a:xfrm>
          <a:off x="6210300" y="16311563"/>
          <a:ext cx="1138238" cy="8620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6</xdr:col>
      <xdr:colOff>990600</xdr:colOff>
      <xdr:row>58</xdr:row>
      <xdr:rowOff>342900</xdr:rowOff>
    </xdr:from>
    <xdr:to>
      <xdr:col>8</xdr:col>
      <xdr:colOff>604838</xdr:colOff>
      <xdr:row>62</xdr:row>
      <xdr:rowOff>38100</xdr:rowOff>
    </xdr:to>
    <xdr:pic>
      <xdr:nvPicPr>
        <xdr:cNvPr id="37843" name="Picture 2208">
          <a:extLst>
            <a:ext uri="{FF2B5EF4-FFF2-40B4-BE49-F238E27FC236}">
              <a16:creationId xmlns:a16="http://schemas.microsoft.com/office/drawing/2014/main" id="{00000000-0008-0000-0300-0000D393000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l="10796" t="41174" r="81079" b="42822"/>
        <a:stretch>
          <a:fillRect/>
        </a:stretch>
      </xdr:blipFill>
      <xdr:spPr bwMode="auto">
        <a:xfrm>
          <a:off x="7348538" y="16311563"/>
          <a:ext cx="1266825" cy="8620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xdr:from>
      <xdr:col>8</xdr:col>
      <xdr:colOff>1819</xdr:colOff>
      <xdr:row>54</xdr:row>
      <xdr:rowOff>164875</xdr:rowOff>
    </xdr:from>
    <xdr:to>
      <xdr:col>9</xdr:col>
      <xdr:colOff>6715</xdr:colOff>
      <xdr:row>55</xdr:row>
      <xdr:rowOff>166194</xdr:rowOff>
    </xdr:to>
    <xdr:sp macro="" textlink="">
      <xdr:nvSpPr>
        <xdr:cNvPr id="32" name="Jobbra nyíl 31">
          <a:extLst>
            <a:ext uri="{FF2B5EF4-FFF2-40B4-BE49-F238E27FC236}">
              <a16:creationId xmlns:a16="http://schemas.microsoft.com/office/drawing/2014/main" id="{00000000-0008-0000-0300-000020000000}"/>
            </a:ext>
          </a:extLst>
        </xdr:cNvPr>
        <xdr:cNvSpPr/>
      </xdr:nvSpPr>
      <xdr:spPr>
        <a:xfrm rot="21185564">
          <a:off x="7468197" y="16285938"/>
          <a:ext cx="453349" cy="151589"/>
        </a:xfrm>
        <a:prstGeom prst="rightArrow">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hu-HU"/>
        </a:p>
      </xdr:txBody>
    </xdr:sp>
    <xdr:clientData/>
  </xdr:twoCellAnchor>
  <xdr:twoCellAnchor>
    <xdr:from>
      <xdr:col>8</xdr:col>
      <xdr:colOff>90286</xdr:colOff>
      <xdr:row>59</xdr:row>
      <xdr:rowOff>338141</xdr:rowOff>
    </xdr:from>
    <xdr:to>
      <xdr:col>8</xdr:col>
      <xdr:colOff>328612</xdr:colOff>
      <xdr:row>62</xdr:row>
      <xdr:rowOff>1371</xdr:rowOff>
    </xdr:to>
    <xdr:sp macro="" textlink="">
      <xdr:nvSpPr>
        <xdr:cNvPr id="33" name="Szalagnyíl lefelé 32">
          <a:extLst>
            <a:ext uri="{FF2B5EF4-FFF2-40B4-BE49-F238E27FC236}">
              <a16:creationId xmlns:a16="http://schemas.microsoft.com/office/drawing/2014/main" id="{00000000-0008-0000-0300-000021000000}"/>
            </a:ext>
          </a:extLst>
        </xdr:cNvPr>
        <xdr:cNvSpPr/>
      </xdr:nvSpPr>
      <xdr:spPr>
        <a:xfrm rot="5400000">
          <a:off x="7988309" y="16722518"/>
          <a:ext cx="482380" cy="238326"/>
        </a:xfrm>
        <a:prstGeom prst="curvedDownArrow">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hu-HU"/>
        </a:p>
      </xdr:txBody>
    </xdr:sp>
    <xdr:clientData/>
  </xdr:twoCellAnchor>
  <xdr:twoCellAnchor>
    <xdr:from>
      <xdr:col>9</xdr:col>
      <xdr:colOff>74664</xdr:colOff>
      <xdr:row>54</xdr:row>
      <xdr:rowOff>1662</xdr:rowOff>
    </xdr:from>
    <xdr:to>
      <xdr:col>9</xdr:col>
      <xdr:colOff>157629</xdr:colOff>
      <xdr:row>57</xdr:row>
      <xdr:rowOff>55</xdr:rowOff>
    </xdr:to>
    <xdr:sp macro="" textlink="">
      <xdr:nvSpPr>
        <xdr:cNvPr id="36" name="Jobbra nyíl 35">
          <a:extLst>
            <a:ext uri="{FF2B5EF4-FFF2-40B4-BE49-F238E27FC236}">
              <a16:creationId xmlns:a16="http://schemas.microsoft.com/office/drawing/2014/main" id="{00000000-0008-0000-0300-000024000000}"/>
            </a:ext>
          </a:extLst>
        </xdr:cNvPr>
        <xdr:cNvSpPr/>
      </xdr:nvSpPr>
      <xdr:spPr>
        <a:xfrm rot="16200000">
          <a:off x="8549750" y="15529576"/>
          <a:ext cx="493693" cy="82965"/>
        </a:xfrm>
        <a:prstGeom prst="rightArrow">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hu-HU"/>
        </a:p>
      </xdr:txBody>
    </xdr:sp>
    <xdr:clientData/>
  </xdr:twoCellAnchor>
  <xdr:oneCellAnchor>
    <xdr:from>
      <xdr:col>8</xdr:col>
      <xdr:colOff>175719</xdr:colOff>
      <xdr:row>57</xdr:row>
      <xdr:rowOff>48599</xdr:rowOff>
    </xdr:from>
    <xdr:ext cx="874138" cy="348833"/>
    <xdr:sp macro="" textlink="">
      <xdr:nvSpPr>
        <xdr:cNvPr id="37" name="Téglalap 36">
          <a:extLst>
            <a:ext uri="{FF2B5EF4-FFF2-40B4-BE49-F238E27FC236}">
              <a16:creationId xmlns:a16="http://schemas.microsoft.com/office/drawing/2014/main" id="{00000000-0008-0000-0300-000025000000}"/>
            </a:ext>
          </a:extLst>
        </xdr:cNvPr>
        <xdr:cNvSpPr/>
      </xdr:nvSpPr>
      <xdr:spPr>
        <a:xfrm>
          <a:off x="8195769" y="15866449"/>
          <a:ext cx="874138" cy="348833"/>
        </a:xfrm>
        <a:prstGeom prst="rect">
          <a:avLst/>
        </a:prstGeom>
        <a:noFill/>
      </xdr:spPr>
      <xdr:txBody>
        <a:bodyPr wrap="square" lIns="91440" tIns="45720" rIns="91440" bIns="45720">
          <a:noAutofit/>
        </a:bodyPr>
        <a:lstStyle/>
        <a:p>
          <a:pPr algn="ctr"/>
          <a:r>
            <a:rPr lang="hu-HU" sz="14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1.      2.</a:t>
          </a:r>
        </a:p>
      </xdr:txBody>
    </xdr:sp>
    <xdr:clientData/>
  </xdr:oneCellAnchor>
  <xdr:twoCellAnchor>
    <xdr:from>
      <xdr:col>2</xdr:col>
      <xdr:colOff>1390650</xdr:colOff>
      <xdr:row>20</xdr:row>
      <xdr:rowOff>166688</xdr:rowOff>
    </xdr:from>
    <xdr:to>
      <xdr:col>3</xdr:col>
      <xdr:colOff>9563100</xdr:colOff>
      <xdr:row>28</xdr:row>
      <xdr:rowOff>385763</xdr:rowOff>
    </xdr:to>
    <xdr:grpSp>
      <xdr:nvGrpSpPr>
        <xdr:cNvPr id="37850" name="Csoportba foglalás 39">
          <a:extLst>
            <a:ext uri="{FF2B5EF4-FFF2-40B4-BE49-F238E27FC236}">
              <a16:creationId xmlns:a16="http://schemas.microsoft.com/office/drawing/2014/main" id="{00000000-0008-0000-0300-0000DA930000}"/>
            </a:ext>
          </a:extLst>
        </xdr:cNvPr>
        <xdr:cNvGrpSpPr>
          <a:grpSpLocks/>
        </xdr:cNvGrpSpPr>
      </xdr:nvGrpSpPr>
      <xdr:grpSpPr bwMode="auto">
        <a:xfrm>
          <a:off x="947738" y="6477001"/>
          <a:ext cx="4914900" cy="1395412"/>
          <a:chOff x="1069730" y="8045342"/>
          <a:chExt cx="4586655" cy="1465004"/>
        </a:xfrm>
      </xdr:grpSpPr>
      <xdr:pic>
        <xdr:nvPicPr>
          <xdr:cNvPr id="37860" name="Picture 2209" descr="Képtalálat a következőre: „s bordás”">
            <a:extLst>
              <a:ext uri="{FF2B5EF4-FFF2-40B4-BE49-F238E27FC236}">
                <a16:creationId xmlns:a16="http://schemas.microsoft.com/office/drawing/2014/main" id="{00000000-0008-0000-0300-0000E49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r="30409" b="49103"/>
          <a:stretch>
            <a:fillRect/>
          </a:stretch>
        </xdr:blipFill>
        <xdr:spPr bwMode="auto">
          <a:xfrm>
            <a:off x="1069730" y="8045342"/>
            <a:ext cx="4579328" cy="1465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37861" name="Picture 2209" descr="Képtalálat a következőre: „s bordás”">
            <a:extLst>
              <a:ext uri="{FF2B5EF4-FFF2-40B4-BE49-F238E27FC236}">
                <a16:creationId xmlns:a16="http://schemas.microsoft.com/office/drawing/2014/main" id="{00000000-0008-0000-0300-0000E59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l="24072" t="50185" r="53323"/>
          <a:stretch>
            <a:fillRect/>
          </a:stretch>
        </xdr:blipFill>
        <xdr:spPr bwMode="auto">
          <a:xfrm>
            <a:off x="4169020" y="8074270"/>
            <a:ext cx="1487365" cy="14338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xdr:from>
      <xdr:col>6</xdr:col>
      <xdr:colOff>354356</xdr:colOff>
      <xdr:row>50</xdr:row>
      <xdr:rowOff>111958</xdr:rowOff>
    </xdr:from>
    <xdr:to>
      <xdr:col>7</xdr:col>
      <xdr:colOff>375865</xdr:colOff>
      <xdr:row>51</xdr:row>
      <xdr:rowOff>164532</xdr:rowOff>
    </xdr:to>
    <xdr:sp macro="" textlink="">
      <xdr:nvSpPr>
        <xdr:cNvPr id="41" name="Szövegdoboz 40">
          <a:extLst>
            <a:ext uri="{FF2B5EF4-FFF2-40B4-BE49-F238E27FC236}">
              <a16:creationId xmlns:a16="http://schemas.microsoft.com/office/drawing/2014/main" id="{00000000-0008-0000-0300-000029000000}"/>
            </a:ext>
          </a:extLst>
        </xdr:cNvPr>
        <xdr:cNvSpPr txBox="1"/>
      </xdr:nvSpPr>
      <xdr:spPr>
        <a:xfrm>
          <a:off x="6422333" y="15746832"/>
          <a:ext cx="634450" cy="229238"/>
        </a:xfrm>
        <a:prstGeom prst="rect">
          <a:avLst/>
        </a:prstGeom>
        <a:solidFill>
          <a:srgbClr val="FFC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hu-HU" sz="1100"/>
            <a:t>kilincs</a:t>
          </a:r>
        </a:p>
      </xdr:txBody>
    </xdr:sp>
    <xdr:clientData/>
  </xdr:twoCellAnchor>
  <xdr:twoCellAnchor>
    <xdr:from>
      <xdr:col>5</xdr:col>
      <xdr:colOff>626574</xdr:colOff>
      <xdr:row>57</xdr:row>
      <xdr:rowOff>37855</xdr:rowOff>
    </xdr:from>
    <xdr:to>
      <xdr:col>8</xdr:col>
      <xdr:colOff>119657</xdr:colOff>
      <xdr:row>58</xdr:row>
      <xdr:rowOff>167707</xdr:rowOff>
    </xdr:to>
    <xdr:sp macro="" textlink="">
      <xdr:nvSpPr>
        <xdr:cNvPr id="42" name="Szövegdoboz 41">
          <a:extLst>
            <a:ext uri="{FF2B5EF4-FFF2-40B4-BE49-F238E27FC236}">
              <a16:creationId xmlns:a16="http://schemas.microsoft.com/office/drawing/2014/main" id="{00000000-0008-0000-0300-00002A000000}"/>
            </a:ext>
          </a:extLst>
        </xdr:cNvPr>
        <xdr:cNvSpPr txBox="1"/>
      </xdr:nvSpPr>
      <xdr:spPr>
        <a:xfrm>
          <a:off x="6000750" y="16698057"/>
          <a:ext cx="1559170" cy="228600"/>
        </a:xfrm>
        <a:prstGeom prst="rect">
          <a:avLst/>
        </a:prstGeom>
        <a:solidFill>
          <a:srgbClr val="FFC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hu-HU" sz="1100"/>
            <a:t>kihúzható</a:t>
          </a:r>
          <a:r>
            <a:rPr lang="hu-HU" sz="1100" baseline="0"/>
            <a:t> zárbetétes</a:t>
          </a:r>
          <a:endParaRPr lang="hu-HU" sz="1100"/>
        </a:p>
      </xdr:txBody>
    </xdr:sp>
    <xdr:clientData/>
  </xdr:twoCellAnchor>
  <xdr:twoCellAnchor>
    <xdr:from>
      <xdr:col>6</xdr:col>
      <xdr:colOff>11112</xdr:colOff>
      <xdr:row>62</xdr:row>
      <xdr:rowOff>15017</xdr:rowOff>
    </xdr:from>
    <xdr:to>
      <xdr:col>8</xdr:col>
      <xdr:colOff>146050</xdr:colOff>
      <xdr:row>63</xdr:row>
      <xdr:rowOff>112578</xdr:rowOff>
    </xdr:to>
    <xdr:sp macro="" textlink="">
      <xdr:nvSpPr>
        <xdr:cNvPr id="43" name="Szövegdoboz 42">
          <a:extLst>
            <a:ext uri="{FF2B5EF4-FFF2-40B4-BE49-F238E27FC236}">
              <a16:creationId xmlns:a16="http://schemas.microsoft.com/office/drawing/2014/main" id="{00000000-0008-0000-0300-00002B000000}"/>
            </a:ext>
          </a:extLst>
        </xdr:cNvPr>
        <xdr:cNvSpPr txBox="1"/>
      </xdr:nvSpPr>
      <xdr:spPr>
        <a:xfrm>
          <a:off x="6710362" y="17096517"/>
          <a:ext cx="1455738" cy="262661"/>
        </a:xfrm>
        <a:prstGeom prst="rect">
          <a:avLst/>
        </a:prstGeom>
        <a:solidFill>
          <a:srgbClr val="FFC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hu-HU" sz="1100"/>
            <a:t>kilincs</a:t>
          </a:r>
          <a:r>
            <a:rPr lang="hu-HU" sz="1100" baseline="0"/>
            <a:t> működtetésű</a:t>
          </a:r>
          <a:endParaRPr lang="hu-HU" sz="1100"/>
        </a:p>
      </xdr:txBody>
    </xdr:sp>
    <xdr:clientData/>
  </xdr:twoCellAnchor>
  <xdr:twoCellAnchor editAs="oneCell">
    <xdr:from>
      <xdr:col>5</xdr:col>
      <xdr:colOff>300038</xdr:colOff>
      <xdr:row>46</xdr:row>
      <xdr:rowOff>61913</xdr:rowOff>
    </xdr:from>
    <xdr:to>
      <xdr:col>6</xdr:col>
      <xdr:colOff>1114425</xdr:colOff>
      <xdr:row>50</xdr:row>
      <xdr:rowOff>90488</xdr:rowOff>
    </xdr:to>
    <xdr:pic>
      <xdr:nvPicPr>
        <xdr:cNvPr id="37854" name="Picture 2208">
          <a:extLst>
            <a:ext uri="{FF2B5EF4-FFF2-40B4-BE49-F238E27FC236}">
              <a16:creationId xmlns:a16="http://schemas.microsoft.com/office/drawing/2014/main" id="{00000000-0008-0000-0300-0000DE93000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l="11160" t="41995" r="81422" b="43787"/>
        <a:stretch>
          <a:fillRect/>
        </a:stretch>
      </xdr:blipFill>
      <xdr:spPr bwMode="auto">
        <a:xfrm>
          <a:off x="6362700" y="13935075"/>
          <a:ext cx="985838"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xdr:from>
      <xdr:col>3</xdr:col>
      <xdr:colOff>95250</xdr:colOff>
      <xdr:row>28</xdr:row>
      <xdr:rowOff>70200</xdr:rowOff>
    </xdr:from>
    <xdr:to>
      <xdr:col>3</xdr:col>
      <xdr:colOff>1627187</xdr:colOff>
      <xdr:row>29</xdr:row>
      <xdr:rowOff>106362</xdr:rowOff>
    </xdr:to>
    <xdr:sp macro="" textlink="">
      <xdr:nvSpPr>
        <xdr:cNvPr id="45" name="Szövegdoboz 44">
          <a:extLst>
            <a:ext uri="{FF2B5EF4-FFF2-40B4-BE49-F238E27FC236}">
              <a16:creationId xmlns:a16="http://schemas.microsoft.com/office/drawing/2014/main" id="{00000000-0008-0000-0300-00002D000000}"/>
            </a:ext>
          </a:extLst>
        </xdr:cNvPr>
        <xdr:cNvSpPr txBox="1"/>
      </xdr:nvSpPr>
      <xdr:spPr>
        <a:xfrm>
          <a:off x="1047750" y="7690200"/>
          <a:ext cx="1531937" cy="264762"/>
        </a:xfrm>
        <a:prstGeom prst="rect">
          <a:avLst/>
        </a:prstGeom>
        <a:solidFill>
          <a:srgbClr val="FFC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hu-HU" sz="1100"/>
            <a:t>S</a:t>
          </a:r>
          <a:r>
            <a:rPr lang="hu-HU" sz="1100" baseline="0"/>
            <a:t> bordás</a:t>
          </a:r>
          <a:endParaRPr lang="hu-HU" sz="1100"/>
        </a:p>
      </xdr:txBody>
    </xdr:sp>
    <xdr:clientData/>
  </xdr:twoCellAnchor>
  <xdr:twoCellAnchor>
    <xdr:from>
      <xdr:col>3</xdr:col>
      <xdr:colOff>1725611</xdr:colOff>
      <xdr:row>28</xdr:row>
      <xdr:rowOff>74963</xdr:rowOff>
    </xdr:from>
    <xdr:to>
      <xdr:col>3</xdr:col>
      <xdr:colOff>3263900</xdr:colOff>
      <xdr:row>29</xdr:row>
      <xdr:rowOff>109025</xdr:rowOff>
    </xdr:to>
    <xdr:sp macro="" textlink="">
      <xdr:nvSpPr>
        <xdr:cNvPr id="46" name="Szövegdoboz 45">
          <a:extLst>
            <a:ext uri="{FF2B5EF4-FFF2-40B4-BE49-F238E27FC236}">
              <a16:creationId xmlns:a16="http://schemas.microsoft.com/office/drawing/2014/main" id="{00000000-0008-0000-0300-00002E000000}"/>
            </a:ext>
          </a:extLst>
        </xdr:cNvPr>
        <xdr:cNvSpPr txBox="1"/>
      </xdr:nvSpPr>
      <xdr:spPr>
        <a:xfrm>
          <a:off x="2678111" y="7694963"/>
          <a:ext cx="1538289" cy="262662"/>
        </a:xfrm>
        <a:prstGeom prst="rect">
          <a:avLst/>
        </a:prstGeom>
        <a:solidFill>
          <a:srgbClr val="FFC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hu-HU" sz="1100" baseline="0"/>
            <a:t>M bordás</a:t>
          </a:r>
          <a:endParaRPr lang="hu-HU" sz="1100"/>
        </a:p>
      </xdr:txBody>
    </xdr:sp>
    <xdr:clientData/>
  </xdr:twoCellAnchor>
  <xdr:twoCellAnchor>
    <xdr:from>
      <xdr:col>4</xdr:col>
      <xdr:colOff>1720</xdr:colOff>
      <xdr:row>28</xdr:row>
      <xdr:rowOff>70201</xdr:rowOff>
    </xdr:from>
    <xdr:to>
      <xdr:col>4</xdr:col>
      <xdr:colOff>1720</xdr:colOff>
      <xdr:row>29</xdr:row>
      <xdr:rowOff>96325</xdr:rowOff>
    </xdr:to>
    <xdr:sp macro="" textlink="">
      <xdr:nvSpPr>
        <xdr:cNvPr id="47" name="Szövegdoboz 46">
          <a:extLst>
            <a:ext uri="{FF2B5EF4-FFF2-40B4-BE49-F238E27FC236}">
              <a16:creationId xmlns:a16="http://schemas.microsoft.com/office/drawing/2014/main" id="{00000000-0008-0000-0300-00002F000000}"/>
            </a:ext>
          </a:extLst>
        </xdr:cNvPr>
        <xdr:cNvSpPr txBox="1"/>
      </xdr:nvSpPr>
      <xdr:spPr>
        <a:xfrm>
          <a:off x="3919594" y="7737207"/>
          <a:ext cx="1400468" cy="231269"/>
        </a:xfrm>
        <a:prstGeom prst="rect">
          <a:avLst/>
        </a:prstGeom>
        <a:solidFill>
          <a:srgbClr val="FFC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hu-HU" sz="1100"/>
            <a:t>kazettás</a:t>
          </a:r>
        </a:p>
      </xdr:txBody>
    </xdr:sp>
    <xdr:clientData/>
  </xdr:twoCellAnchor>
  <xdr:twoCellAnchor>
    <xdr:from>
      <xdr:col>5</xdr:col>
      <xdr:colOff>628530</xdr:colOff>
      <xdr:row>75</xdr:row>
      <xdr:rowOff>194895</xdr:rowOff>
    </xdr:from>
    <xdr:to>
      <xdr:col>8</xdr:col>
      <xdr:colOff>1721</xdr:colOff>
      <xdr:row>76</xdr:row>
      <xdr:rowOff>184150</xdr:rowOff>
    </xdr:to>
    <xdr:sp macro="" textlink="">
      <xdr:nvSpPr>
        <xdr:cNvPr id="48" name="Szövegdoboz 47">
          <a:extLst>
            <a:ext uri="{FF2B5EF4-FFF2-40B4-BE49-F238E27FC236}">
              <a16:creationId xmlns:a16="http://schemas.microsoft.com/office/drawing/2014/main" id="{00000000-0008-0000-0300-000030000000}"/>
            </a:ext>
          </a:extLst>
        </xdr:cNvPr>
        <xdr:cNvSpPr txBox="1"/>
      </xdr:nvSpPr>
      <xdr:spPr>
        <a:xfrm>
          <a:off x="6699130" y="20394245"/>
          <a:ext cx="1322641" cy="325805"/>
        </a:xfrm>
        <a:prstGeom prst="rect">
          <a:avLst/>
        </a:prstGeom>
        <a:solidFill>
          <a:srgbClr val="FFC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hu-HU" sz="1100"/>
            <a:t>Supramatic motor</a:t>
          </a:r>
        </a:p>
      </xdr:txBody>
    </xdr:sp>
    <xdr:clientData/>
  </xdr:twoCellAnchor>
  <xdr:twoCellAnchor>
    <xdr:from>
      <xdr:col>5</xdr:col>
      <xdr:colOff>628530</xdr:colOff>
      <xdr:row>79</xdr:row>
      <xdr:rowOff>316397</xdr:rowOff>
    </xdr:from>
    <xdr:to>
      <xdr:col>8</xdr:col>
      <xdr:colOff>1721</xdr:colOff>
      <xdr:row>80</xdr:row>
      <xdr:rowOff>260350</xdr:rowOff>
    </xdr:to>
    <xdr:sp macro="" textlink="">
      <xdr:nvSpPr>
        <xdr:cNvPr id="49" name="Szövegdoboz 48">
          <a:extLst>
            <a:ext uri="{FF2B5EF4-FFF2-40B4-BE49-F238E27FC236}">
              <a16:creationId xmlns:a16="http://schemas.microsoft.com/office/drawing/2014/main" id="{00000000-0008-0000-0300-000031000000}"/>
            </a:ext>
          </a:extLst>
        </xdr:cNvPr>
        <xdr:cNvSpPr txBox="1"/>
      </xdr:nvSpPr>
      <xdr:spPr>
        <a:xfrm>
          <a:off x="6699130" y="22084197"/>
          <a:ext cx="1322641" cy="261453"/>
        </a:xfrm>
        <a:prstGeom prst="rect">
          <a:avLst/>
        </a:prstGeom>
        <a:solidFill>
          <a:srgbClr val="FFC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hu-HU" sz="1100"/>
            <a:t>Promatic motor</a:t>
          </a:r>
        </a:p>
      </xdr:txBody>
    </xdr:sp>
    <xdr:clientData/>
  </xdr:twoCellAnchor>
  <xdr:twoCellAnchor>
    <xdr:from>
      <xdr:col>3</xdr:col>
      <xdr:colOff>3328986</xdr:colOff>
      <xdr:row>28</xdr:row>
      <xdr:rowOff>74963</xdr:rowOff>
    </xdr:from>
    <xdr:to>
      <xdr:col>3</xdr:col>
      <xdr:colOff>4865687</xdr:colOff>
      <xdr:row>29</xdr:row>
      <xdr:rowOff>107437</xdr:rowOff>
    </xdr:to>
    <xdr:sp macro="" textlink="">
      <xdr:nvSpPr>
        <xdr:cNvPr id="2" name="Szövegdoboz 1">
          <a:extLst>
            <a:ext uri="{FF2B5EF4-FFF2-40B4-BE49-F238E27FC236}">
              <a16:creationId xmlns:a16="http://schemas.microsoft.com/office/drawing/2014/main" id="{00000000-0008-0000-0300-000002000000}"/>
            </a:ext>
          </a:extLst>
        </xdr:cNvPr>
        <xdr:cNvSpPr txBox="1"/>
      </xdr:nvSpPr>
      <xdr:spPr>
        <a:xfrm>
          <a:off x="4281486" y="7694963"/>
          <a:ext cx="1536701" cy="261074"/>
        </a:xfrm>
        <a:prstGeom prst="rect">
          <a:avLst/>
        </a:prstGeom>
        <a:solidFill>
          <a:srgbClr val="FFC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hu-HU" sz="1100" baseline="0"/>
            <a:t>kazettás</a:t>
          </a:r>
          <a:endParaRPr lang="hu-HU" sz="1100"/>
        </a:p>
      </xdr:txBody>
    </xdr:sp>
    <xdr:clientData/>
  </xdr:twoCellAnchor>
  <xdr:twoCellAnchor>
    <xdr:from>
      <xdr:col>9</xdr:col>
      <xdr:colOff>65143</xdr:colOff>
      <xdr:row>59</xdr:row>
      <xdr:rowOff>14362</xdr:rowOff>
    </xdr:from>
    <xdr:to>
      <xdr:col>9</xdr:col>
      <xdr:colOff>151283</xdr:colOff>
      <xdr:row>60</xdr:row>
      <xdr:rowOff>19105</xdr:rowOff>
    </xdr:to>
    <xdr:sp macro="" textlink="">
      <xdr:nvSpPr>
        <xdr:cNvPr id="3" name="Jobbra nyíl 35">
          <a:extLst>
            <a:ext uri="{FF2B5EF4-FFF2-40B4-BE49-F238E27FC236}">
              <a16:creationId xmlns:a16="http://schemas.microsoft.com/office/drawing/2014/main" id="{00000000-0008-0000-0300-000003000000}"/>
            </a:ext>
          </a:extLst>
        </xdr:cNvPr>
        <xdr:cNvSpPr/>
      </xdr:nvSpPr>
      <xdr:spPr>
        <a:xfrm rot="16200000">
          <a:off x="8541816" y="16480489"/>
          <a:ext cx="493693" cy="86140"/>
        </a:xfrm>
        <a:prstGeom prst="rightArrow">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hu-HU"/>
        </a:p>
      </xdr:txBody>
    </xdr:sp>
    <xdr:clientData/>
  </xdr:twoCellAnchor>
  <xdr:oneCellAnchor>
    <xdr:from>
      <xdr:col>8</xdr:col>
      <xdr:colOff>159849</xdr:colOff>
      <xdr:row>60</xdr:row>
      <xdr:rowOff>64478</xdr:rowOff>
    </xdr:from>
    <xdr:ext cx="874138" cy="348833"/>
    <xdr:sp macro="" textlink="">
      <xdr:nvSpPr>
        <xdr:cNvPr id="4" name="Téglalap 3">
          <a:extLst>
            <a:ext uri="{FF2B5EF4-FFF2-40B4-BE49-F238E27FC236}">
              <a16:creationId xmlns:a16="http://schemas.microsoft.com/office/drawing/2014/main" id="{00000000-0008-0000-0300-000004000000}"/>
            </a:ext>
          </a:extLst>
        </xdr:cNvPr>
        <xdr:cNvSpPr/>
      </xdr:nvSpPr>
      <xdr:spPr>
        <a:xfrm>
          <a:off x="8179899" y="16815778"/>
          <a:ext cx="874138" cy="348833"/>
        </a:xfrm>
        <a:prstGeom prst="rect">
          <a:avLst/>
        </a:prstGeom>
        <a:noFill/>
      </xdr:spPr>
      <xdr:txBody>
        <a:bodyPr wrap="square" lIns="91440" tIns="45720" rIns="91440" bIns="45720">
          <a:noAutofit/>
        </a:bodyPr>
        <a:lstStyle/>
        <a:p>
          <a:pPr algn="ctr"/>
          <a:r>
            <a:rPr lang="hu-HU" sz="14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1.     2.</a:t>
          </a:r>
        </a:p>
      </xdr:txBody>
    </xdr:sp>
    <xdr:clientData/>
  </xdr:oneCellAnchor>
  <xdr:twoCellAnchor editAs="oneCell">
    <xdr:from>
      <xdr:col>5</xdr:col>
      <xdr:colOff>508001</xdr:colOff>
      <xdr:row>5</xdr:row>
      <xdr:rowOff>119061</xdr:rowOff>
    </xdr:from>
    <xdr:to>
      <xdr:col>8</xdr:col>
      <xdr:colOff>215899</xdr:colOff>
      <xdr:row>14</xdr:row>
      <xdr:rowOff>4868</xdr:rowOff>
    </xdr:to>
    <xdr:pic>
      <xdr:nvPicPr>
        <xdr:cNvPr id="5" name="Kép 4">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22"/>
        <a:stretch>
          <a:fillRect/>
        </a:stretch>
      </xdr:blipFill>
      <xdr:spPr>
        <a:xfrm>
          <a:off x="6578601" y="1814511"/>
          <a:ext cx="1657348" cy="3010007"/>
        </a:xfrm>
        <a:prstGeom prst="rect">
          <a:avLst/>
        </a:prstGeom>
      </xdr:spPr>
    </xdr:pic>
    <xdr:clientData/>
  </xdr:twoCellAnchor>
  <xdr:twoCellAnchor>
    <xdr:from>
      <xdr:col>6</xdr:col>
      <xdr:colOff>1587</xdr:colOff>
      <xdr:row>13</xdr:row>
      <xdr:rowOff>922887</xdr:rowOff>
    </xdr:from>
    <xdr:to>
      <xdr:col>8</xdr:col>
      <xdr:colOff>49211</xdr:colOff>
      <xdr:row>15</xdr:row>
      <xdr:rowOff>254000</xdr:rowOff>
    </xdr:to>
    <xdr:sp macro="" textlink="">
      <xdr:nvSpPr>
        <xdr:cNvPr id="6" name="Szövegdoboz 5">
          <a:extLst>
            <a:ext uri="{FF2B5EF4-FFF2-40B4-BE49-F238E27FC236}">
              <a16:creationId xmlns:a16="http://schemas.microsoft.com/office/drawing/2014/main" id="{00000000-0008-0000-0300-000006000000}"/>
            </a:ext>
          </a:extLst>
        </xdr:cNvPr>
        <xdr:cNvSpPr txBox="1"/>
      </xdr:nvSpPr>
      <xdr:spPr>
        <a:xfrm>
          <a:off x="6700837" y="4764637"/>
          <a:ext cx="1368424" cy="474113"/>
        </a:xfrm>
        <a:prstGeom prst="rect">
          <a:avLst/>
        </a:prstGeom>
        <a:solidFill>
          <a:srgbClr val="FFC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hu-HU" sz="1100"/>
            <a:t>4,2 cm vastag  szigetelt</a:t>
          </a:r>
          <a:r>
            <a:rPr lang="hu-HU" sz="1100" baseline="0"/>
            <a:t> lamella</a:t>
          </a:r>
          <a:endParaRPr lang="hu-HU" sz="1100"/>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242888</xdr:colOff>
      <xdr:row>8</xdr:row>
      <xdr:rowOff>114300</xdr:rowOff>
    </xdr:from>
    <xdr:to>
      <xdr:col>29</xdr:col>
      <xdr:colOff>2721</xdr:colOff>
      <xdr:row>42</xdr:row>
      <xdr:rowOff>6350</xdr:rowOff>
    </xdr:to>
    <xdr:pic>
      <xdr:nvPicPr>
        <xdr:cNvPr id="34062" name="Picture 1">
          <a:extLst>
            <a:ext uri="{FF2B5EF4-FFF2-40B4-BE49-F238E27FC236}">
              <a16:creationId xmlns:a16="http://schemas.microsoft.com/office/drawing/2014/main" id="{00000000-0008-0000-0400-00000E8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7354" t="28122" r="27591" b="4163"/>
        <a:stretch>
          <a:fillRect/>
        </a:stretch>
      </xdr:blipFill>
      <xdr:spPr bwMode="auto">
        <a:xfrm>
          <a:off x="228600" y="1538288"/>
          <a:ext cx="6353175" cy="49006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28</xdr:col>
      <xdr:colOff>347663</xdr:colOff>
      <xdr:row>11</xdr:row>
      <xdr:rowOff>261938</xdr:rowOff>
    </xdr:from>
    <xdr:to>
      <xdr:col>46</xdr:col>
      <xdr:colOff>1814</xdr:colOff>
      <xdr:row>17</xdr:row>
      <xdr:rowOff>1814</xdr:rowOff>
    </xdr:to>
    <xdr:pic>
      <xdr:nvPicPr>
        <xdr:cNvPr id="34063" name="Picture 2">
          <a:extLst>
            <a:ext uri="{FF2B5EF4-FFF2-40B4-BE49-F238E27FC236}">
              <a16:creationId xmlns:a16="http://schemas.microsoft.com/office/drawing/2014/main" id="{00000000-0008-0000-0400-00000F8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49066" t="50620" r="19930" b="38388"/>
        <a:stretch>
          <a:fillRect/>
        </a:stretch>
      </xdr:blipFill>
      <xdr:spPr bwMode="auto">
        <a:xfrm>
          <a:off x="6581775" y="2081213"/>
          <a:ext cx="38862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29</xdr:col>
      <xdr:colOff>90488</xdr:colOff>
      <xdr:row>31</xdr:row>
      <xdr:rowOff>4763</xdr:rowOff>
    </xdr:from>
    <xdr:to>
      <xdr:col>46</xdr:col>
      <xdr:colOff>190500</xdr:colOff>
      <xdr:row>43</xdr:row>
      <xdr:rowOff>1814</xdr:rowOff>
    </xdr:to>
    <xdr:pic>
      <xdr:nvPicPr>
        <xdr:cNvPr id="34064" name="Picture 2">
          <a:extLst>
            <a:ext uri="{FF2B5EF4-FFF2-40B4-BE49-F238E27FC236}">
              <a16:creationId xmlns:a16="http://schemas.microsoft.com/office/drawing/2014/main" id="{00000000-0008-0000-0400-0000108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49474" t="61760" r="18832" b="10718"/>
        <a:stretch>
          <a:fillRect/>
        </a:stretch>
      </xdr:blipFill>
      <xdr:spPr bwMode="auto">
        <a:xfrm>
          <a:off x="6672263" y="4781550"/>
          <a:ext cx="3986212" cy="18145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28</xdr:col>
      <xdr:colOff>323850</xdr:colOff>
      <xdr:row>17</xdr:row>
      <xdr:rowOff>166688</xdr:rowOff>
    </xdr:from>
    <xdr:to>
      <xdr:col>46</xdr:col>
      <xdr:colOff>146050</xdr:colOff>
      <xdr:row>30</xdr:row>
      <xdr:rowOff>152400</xdr:rowOff>
    </xdr:to>
    <xdr:pic>
      <xdr:nvPicPr>
        <xdr:cNvPr id="34065" name="Picture 2">
          <a:extLst>
            <a:ext uri="{FF2B5EF4-FFF2-40B4-BE49-F238E27FC236}">
              <a16:creationId xmlns:a16="http://schemas.microsoft.com/office/drawing/2014/main" id="{00000000-0008-0000-0400-0000118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7500" t="61539" r="50655" b="10718"/>
        <a:stretch>
          <a:fillRect/>
        </a:stretch>
      </xdr:blipFill>
      <xdr:spPr bwMode="auto">
        <a:xfrm>
          <a:off x="6581775" y="2976563"/>
          <a:ext cx="4033838" cy="1790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28</xdr:col>
      <xdr:colOff>323850</xdr:colOff>
      <xdr:row>7</xdr:row>
      <xdr:rowOff>242888</xdr:rowOff>
    </xdr:from>
    <xdr:to>
      <xdr:col>46</xdr:col>
      <xdr:colOff>38100</xdr:colOff>
      <xdr:row>12</xdr:row>
      <xdr:rowOff>1814</xdr:rowOff>
    </xdr:to>
    <xdr:pic>
      <xdr:nvPicPr>
        <xdr:cNvPr id="34066" name="Picture 2">
          <a:extLst>
            <a:ext uri="{FF2B5EF4-FFF2-40B4-BE49-F238E27FC236}">
              <a16:creationId xmlns:a16="http://schemas.microsoft.com/office/drawing/2014/main" id="{00000000-0008-0000-0400-0000128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7500" t="49622" r="50998" b="39606"/>
        <a:stretch>
          <a:fillRect/>
        </a:stretch>
      </xdr:blipFill>
      <xdr:spPr bwMode="auto">
        <a:xfrm>
          <a:off x="6581775" y="1423988"/>
          <a:ext cx="392430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1</xdr:col>
      <xdr:colOff>9072</xdr:colOff>
      <xdr:row>0</xdr:row>
      <xdr:rowOff>127000</xdr:rowOff>
    </xdr:from>
    <xdr:to>
      <xdr:col>6</xdr:col>
      <xdr:colOff>127681</xdr:colOff>
      <xdr:row>1</xdr:row>
      <xdr:rowOff>127990</xdr:rowOff>
    </xdr:to>
    <xdr:pic>
      <xdr:nvPicPr>
        <xdr:cNvPr id="2" name="Picture 103" descr=",kék mallerhu">
          <a:extLst>
            <a:ext uri="{FF2B5EF4-FFF2-40B4-BE49-F238E27FC236}">
              <a16:creationId xmlns:a16="http://schemas.microsoft.com/office/drawing/2014/main" id="{00000000-0008-0000-0400-000002000000}"/>
            </a:ext>
          </a:extLst>
        </xdr:cNvPr>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b="28115"/>
        <a:stretch/>
      </xdr:blipFill>
      <xdr:spPr bwMode="auto">
        <a:xfrm>
          <a:off x="235858" y="127000"/>
          <a:ext cx="1252537" cy="2459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38100</xdr:colOff>
      <xdr:row>3</xdr:row>
      <xdr:rowOff>319088</xdr:rowOff>
    </xdr:from>
    <xdr:to>
      <xdr:col>8</xdr:col>
      <xdr:colOff>1128713</xdr:colOff>
      <xdr:row>38</xdr:row>
      <xdr:rowOff>42863</xdr:rowOff>
    </xdr:to>
    <xdr:pic>
      <xdr:nvPicPr>
        <xdr:cNvPr id="12484" name="Picture 3">
          <a:extLst>
            <a:ext uri="{FF2B5EF4-FFF2-40B4-BE49-F238E27FC236}">
              <a16:creationId xmlns:a16="http://schemas.microsoft.com/office/drawing/2014/main" id="{00000000-0008-0000-0500-0000C43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747713"/>
          <a:ext cx="5876925" cy="55483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2</xdr:col>
      <xdr:colOff>23532</xdr:colOff>
      <xdr:row>1</xdr:row>
      <xdr:rowOff>34178</xdr:rowOff>
    </xdr:from>
    <xdr:to>
      <xdr:col>4</xdr:col>
      <xdr:colOff>443659</xdr:colOff>
      <xdr:row>2</xdr:row>
      <xdr:rowOff>12744</xdr:rowOff>
    </xdr:to>
    <xdr:pic>
      <xdr:nvPicPr>
        <xdr:cNvPr id="2" name="Picture 103" descr=",kék mallerhu">
          <a:extLst>
            <a:ext uri="{FF2B5EF4-FFF2-40B4-BE49-F238E27FC236}">
              <a16:creationId xmlns:a16="http://schemas.microsoft.com/office/drawing/2014/main" id="{00000000-0008-0000-0700-000002000000}"/>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28115"/>
        <a:stretch/>
      </xdr:blipFill>
      <xdr:spPr bwMode="auto">
        <a:xfrm>
          <a:off x="367179" y="86472"/>
          <a:ext cx="1249362" cy="2475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9" Type="http://schemas.openxmlformats.org/officeDocument/2006/relationships/ctrlProp" Target="../ctrlProps/ctrlProp36.x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trlProp" Target="../ctrlProps/ctrlProp44.xml"/><Relationship Id="rId50" Type="http://schemas.openxmlformats.org/officeDocument/2006/relationships/ctrlProp" Target="../ctrlProps/ctrlProp47.xml"/><Relationship Id="rId55" Type="http://schemas.openxmlformats.org/officeDocument/2006/relationships/ctrlProp" Target="../ctrlProps/ctrlProp52.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2" Type="http://schemas.openxmlformats.org/officeDocument/2006/relationships/drawing" Target="../drawings/drawing1.xml"/><Relationship Id="rId16" Type="http://schemas.openxmlformats.org/officeDocument/2006/relationships/ctrlProp" Target="../ctrlProps/ctrlProp13.xml"/><Relationship Id="rId20" Type="http://schemas.openxmlformats.org/officeDocument/2006/relationships/ctrlProp" Target="../ctrlProps/ctrlProp17.xml"/><Relationship Id="rId29" Type="http://schemas.openxmlformats.org/officeDocument/2006/relationships/ctrlProp" Target="../ctrlProps/ctrlProp26.xml"/><Relationship Id="rId41" Type="http://schemas.openxmlformats.org/officeDocument/2006/relationships/ctrlProp" Target="../ctrlProps/ctrlProp38.xml"/><Relationship Id="rId54" Type="http://schemas.openxmlformats.org/officeDocument/2006/relationships/ctrlProp" Target="../ctrlProps/ctrlProp51.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3" Type="http://schemas.openxmlformats.org/officeDocument/2006/relationships/ctrlProp" Target="../ctrlProps/ctrlProp50.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56" Type="http://schemas.openxmlformats.org/officeDocument/2006/relationships/comments" Target="../comments1.xml"/><Relationship Id="rId8" Type="http://schemas.openxmlformats.org/officeDocument/2006/relationships/ctrlProp" Target="../ctrlProps/ctrlProp5.xml"/><Relationship Id="rId51" Type="http://schemas.openxmlformats.org/officeDocument/2006/relationships/ctrlProp" Target="../ctrlProps/ctrlProp48.xml"/><Relationship Id="rId3"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www.maller.hu/" TargetMode="External"/><Relationship Id="rId1" Type="http://schemas.openxmlformats.org/officeDocument/2006/relationships/hyperlink" Target="mailto:maller@maller.hu" TargetMode="External"/><Relationship Id="rId4"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hyperlink" Target="mailto:maller@maller.hu" TargetMode="Externa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s://www.youtube.com/results?search_query=MALLER.HU+H%C3%96RMANN"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6:F13"/>
  <sheetViews>
    <sheetView workbookViewId="0">
      <selection activeCell="F38" sqref="F38"/>
    </sheetView>
  </sheetViews>
  <sheetFormatPr defaultColWidth="9.19921875" defaultRowHeight="12.75" x14ac:dyDescent="0.35"/>
  <cols>
    <col min="1" max="16384" width="9.19921875" style="133"/>
  </cols>
  <sheetData>
    <row r="6" spans="2:6" ht="22.15" x14ac:dyDescent="0.55000000000000004">
      <c r="B6" s="162" t="s">
        <v>339</v>
      </c>
    </row>
    <row r="7" spans="2:6" ht="22.15" x14ac:dyDescent="0.55000000000000004">
      <c r="B7" s="162"/>
    </row>
    <row r="8" spans="2:6" ht="22.15" x14ac:dyDescent="0.55000000000000004">
      <c r="B8" s="162" t="s">
        <v>340</v>
      </c>
    </row>
    <row r="9" spans="2:6" ht="22.15" x14ac:dyDescent="0.55000000000000004">
      <c r="B9" s="162"/>
    </row>
    <row r="10" spans="2:6" ht="22.15" x14ac:dyDescent="0.55000000000000004">
      <c r="B10" s="162" t="s">
        <v>341</v>
      </c>
    </row>
    <row r="13" spans="2:6" ht="24.75" x14ac:dyDescent="0.65">
      <c r="B13" s="343" t="s">
        <v>342</v>
      </c>
      <c r="C13" s="343"/>
      <c r="D13" s="343"/>
      <c r="E13" s="343"/>
      <c r="F13" s="343"/>
    </row>
  </sheetData>
  <mergeCells count="1">
    <mergeCell ref="B13:F13"/>
  </mergeCells>
  <pageMargins left="0.7" right="0.7" top="0.75" bottom="0.75" header="0.3" footer="0.3"/>
  <pageSetup paperSize="9" orientation="portrait" verticalDpi="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427C60-6585-4AE3-AF92-371A225D37C9}">
  <dimension ref="A2:U80"/>
  <sheetViews>
    <sheetView topLeftCell="A18" workbookViewId="0">
      <selection activeCell="C12" sqref="C12:R12"/>
    </sheetView>
  </sheetViews>
  <sheetFormatPr defaultRowHeight="12.75" x14ac:dyDescent="0.35"/>
  <sheetData>
    <row r="2" spans="1:21" x14ac:dyDescent="0.35">
      <c r="D2" s="547">
        <v>1</v>
      </c>
      <c r="E2" s="53"/>
      <c r="F2" s="547">
        <v>2</v>
      </c>
      <c r="G2" s="53"/>
      <c r="H2" s="547">
        <v>4</v>
      </c>
      <c r="I2" s="53"/>
      <c r="J2" s="547">
        <v>5</v>
      </c>
      <c r="K2" s="53"/>
      <c r="L2" s="547">
        <v>7</v>
      </c>
      <c r="M2" s="53"/>
      <c r="N2" s="547">
        <v>8</v>
      </c>
      <c r="O2" s="53"/>
      <c r="P2" s="547">
        <v>3</v>
      </c>
      <c r="Q2" s="53"/>
      <c r="R2" s="547">
        <v>6</v>
      </c>
      <c r="S2" s="53"/>
      <c r="T2" s="547">
        <v>9</v>
      </c>
      <c r="U2" s="53"/>
    </row>
    <row r="3" spans="1:21" x14ac:dyDescent="0.35">
      <c r="D3" s="547"/>
      <c r="E3" s="53"/>
      <c r="F3" s="547"/>
      <c r="G3" s="53"/>
      <c r="H3" s="547"/>
      <c r="I3" s="53"/>
      <c r="J3" s="547"/>
      <c r="K3" s="53"/>
      <c r="L3" s="547"/>
      <c r="M3" s="53"/>
      <c r="N3" s="547"/>
      <c r="O3" s="53"/>
      <c r="P3" s="547"/>
      <c r="Q3" s="53"/>
      <c r="R3" s="547"/>
      <c r="S3" s="53"/>
      <c r="T3" s="547"/>
      <c r="U3" s="53"/>
    </row>
    <row r="5" spans="1:21" x14ac:dyDescent="0.35">
      <c r="D5" s="548" t="s">
        <v>368</v>
      </c>
      <c r="E5" s="549"/>
      <c r="F5" s="548" t="s">
        <v>371</v>
      </c>
      <c r="G5" s="549"/>
      <c r="H5" s="548" t="s">
        <v>369</v>
      </c>
      <c r="I5" s="549"/>
      <c r="J5" s="548" t="s">
        <v>623</v>
      </c>
      <c r="K5" s="549"/>
      <c r="L5" s="548" t="s">
        <v>489</v>
      </c>
      <c r="M5" s="549"/>
      <c r="N5" s="548" t="s">
        <v>491</v>
      </c>
      <c r="O5" s="549"/>
      <c r="P5" s="548" t="s">
        <v>620</v>
      </c>
      <c r="Q5" s="549"/>
      <c r="R5" s="548" t="s">
        <v>621</v>
      </c>
      <c r="S5" s="549"/>
      <c r="T5" s="548" t="s">
        <v>622</v>
      </c>
      <c r="U5" s="549"/>
    </row>
    <row r="6" spans="1:21" x14ac:dyDescent="0.35">
      <c r="D6" s="550"/>
      <c r="E6" s="551"/>
      <c r="F6" s="550"/>
      <c r="G6" s="551"/>
      <c r="H6" s="550"/>
      <c r="I6" s="551"/>
      <c r="J6" s="550"/>
      <c r="K6" s="551"/>
      <c r="L6" s="550"/>
      <c r="M6" s="551"/>
      <c r="N6" s="550"/>
      <c r="O6" s="551"/>
      <c r="P6" s="550"/>
      <c r="Q6" s="551"/>
      <c r="R6" s="550"/>
      <c r="S6" s="551"/>
      <c r="T6" s="550"/>
      <c r="U6" s="551"/>
    </row>
    <row r="7" spans="1:21" x14ac:dyDescent="0.35">
      <c r="D7" s="177" t="s">
        <v>366</v>
      </c>
      <c r="E7" s="178" t="s">
        <v>367</v>
      </c>
      <c r="F7" s="177" t="s">
        <v>366</v>
      </c>
      <c r="G7" s="178" t="s">
        <v>367</v>
      </c>
      <c r="H7" s="177" t="s">
        <v>366</v>
      </c>
      <c r="I7" s="178" t="s">
        <v>367</v>
      </c>
      <c r="J7" s="177" t="s">
        <v>366</v>
      </c>
      <c r="K7" s="178" t="s">
        <v>367</v>
      </c>
      <c r="L7" s="177" t="s">
        <v>366</v>
      </c>
      <c r="M7" s="178" t="s">
        <v>367</v>
      </c>
      <c r="N7" s="177" t="s">
        <v>366</v>
      </c>
      <c r="O7" s="178" t="s">
        <v>367</v>
      </c>
      <c r="P7" s="177" t="s">
        <v>366</v>
      </c>
      <c r="Q7" s="178" t="s">
        <v>367</v>
      </c>
      <c r="R7" s="177" t="s">
        <v>366</v>
      </c>
      <c r="S7" s="178" t="s">
        <v>367</v>
      </c>
      <c r="T7" s="177" t="s">
        <v>366</v>
      </c>
      <c r="U7" s="178" t="s">
        <v>367</v>
      </c>
    </row>
    <row r="8" spans="1:21" x14ac:dyDescent="0.35">
      <c r="A8">
        <v>1</v>
      </c>
      <c r="B8" s="67" t="s">
        <v>76</v>
      </c>
      <c r="D8" s="313" t="s">
        <v>84</v>
      </c>
      <c r="E8" s="282" t="str">
        <f t="shared" ref="E8:E39" si="0">IF(D8="nincs","nincs",ROUND(D8/1.27,0))</f>
        <v>nincs</v>
      </c>
      <c r="F8" s="313" t="s">
        <v>84</v>
      </c>
      <c r="G8" s="282" t="str">
        <f t="shared" ref="G8:G39" si="1">IF(F8="nincs","nincs",ROUND(F8/1.27,0))</f>
        <v>nincs</v>
      </c>
      <c r="H8" s="313" t="s">
        <v>84</v>
      </c>
      <c r="I8" s="282" t="str">
        <f t="shared" ref="I8:I39" si="2">IF(H8="nincs","nincs",ROUND(H8/1.27,0))</f>
        <v>nincs</v>
      </c>
      <c r="J8" s="313" t="s">
        <v>84</v>
      </c>
      <c r="K8" s="282" t="str">
        <f t="shared" ref="K8:K39" si="3">IF(J8="nincs","nincs",ROUND(J8/1.27,0))</f>
        <v>nincs</v>
      </c>
      <c r="L8" s="313" t="s">
        <v>84</v>
      </c>
      <c r="M8" s="282" t="str">
        <f t="shared" ref="M8:M39" si="4">IF(L8="nincs","nincs",ROUND(L8/1.27,0))</f>
        <v>nincs</v>
      </c>
      <c r="N8" s="313" t="s">
        <v>84</v>
      </c>
      <c r="O8" s="282" t="str">
        <f t="shared" ref="O8:O39" si="5">IF(N8="nincs","nincs",ROUND(N8/1.27,0))</f>
        <v>nincs</v>
      </c>
      <c r="P8" s="313" t="s">
        <v>84</v>
      </c>
      <c r="Q8" s="282" t="str">
        <f t="shared" ref="Q8:Q39" si="6">IF(P8="nincs","nincs",ROUND(P8/1.27,0))</f>
        <v>nincs</v>
      </c>
      <c r="R8" s="313" t="s">
        <v>84</v>
      </c>
      <c r="S8" s="282" t="str">
        <f t="shared" ref="S8:S39" si="7">IF(R8="nincs","nincs",ROUND(R8/1.27,0))</f>
        <v>nincs</v>
      </c>
      <c r="T8" s="313" t="s">
        <v>84</v>
      </c>
      <c r="U8" s="282" t="str">
        <f t="shared" ref="U8:U39" si="8">IF(T8="nincs","nincs",ROUND(T8/1.27,0))</f>
        <v>nincs</v>
      </c>
    </row>
    <row r="9" spans="1:21" x14ac:dyDescent="0.35">
      <c r="A9">
        <v>2</v>
      </c>
      <c r="B9" s="69" t="s">
        <v>75</v>
      </c>
      <c r="D9" s="313" t="s">
        <v>84</v>
      </c>
      <c r="E9" s="282" t="str">
        <f t="shared" si="0"/>
        <v>nincs</v>
      </c>
      <c r="F9" s="313" t="s">
        <v>84</v>
      </c>
      <c r="G9" s="282" t="str">
        <f t="shared" si="1"/>
        <v>nincs</v>
      </c>
      <c r="H9" s="313" t="s">
        <v>84</v>
      </c>
      <c r="I9" s="282" t="str">
        <f t="shared" si="2"/>
        <v>nincs</v>
      </c>
      <c r="J9" s="313" t="s">
        <v>84</v>
      </c>
      <c r="K9" s="282" t="str">
        <f t="shared" si="3"/>
        <v>nincs</v>
      </c>
      <c r="L9" s="313" t="s">
        <v>84</v>
      </c>
      <c r="M9" s="282" t="str">
        <f t="shared" si="4"/>
        <v>nincs</v>
      </c>
      <c r="N9" s="313" t="s">
        <v>84</v>
      </c>
      <c r="O9" s="282" t="str">
        <f t="shared" si="5"/>
        <v>nincs</v>
      </c>
      <c r="P9" s="313" t="s">
        <v>84</v>
      </c>
      <c r="Q9" s="282" t="str">
        <f t="shared" si="6"/>
        <v>nincs</v>
      </c>
      <c r="R9" s="313" t="s">
        <v>84</v>
      </c>
      <c r="S9" s="282" t="str">
        <f t="shared" si="7"/>
        <v>nincs</v>
      </c>
      <c r="T9" s="313" t="s">
        <v>84</v>
      </c>
      <c r="U9" s="282" t="str">
        <f t="shared" si="8"/>
        <v>nincs</v>
      </c>
    </row>
    <row r="10" spans="1:21" x14ac:dyDescent="0.35">
      <c r="A10">
        <v>3</v>
      </c>
      <c r="B10" s="70" t="s">
        <v>64</v>
      </c>
      <c r="D10" s="313" t="s">
        <v>84</v>
      </c>
      <c r="E10" s="282" t="str">
        <f t="shared" si="0"/>
        <v>nincs</v>
      </c>
      <c r="F10" s="313" t="s">
        <v>84</v>
      </c>
      <c r="G10" s="282" t="str">
        <f t="shared" si="1"/>
        <v>nincs</v>
      </c>
      <c r="H10" s="313" t="s">
        <v>84</v>
      </c>
      <c r="I10" s="282" t="str">
        <f t="shared" si="2"/>
        <v>nincs</v>
      </c>
      <c r="J10" s="313" t="s">
        <v>84</v>
      </c>
      <c r="K10" s="282" t="str">
        <f t="shared" si="3"/>
        <v>nincs</v>
      </c>
      <c r="L10" s="313" t="s">
        <v>84</v>
      </c>
      <c r="M10" s="282" t="str">
        <f t="shared" si="4"/>
        <v>nincs</v>
      </c>
      <c r="N10" s="313" t="s">
        <v>84</v>
      </c>
      <c r="O10" s="282" t="str">
        <f t="shared" si="5"/>
        <v>nincs</v>
      </c>
      <c r="P10" s="313" t="s">
        <v>84</v>
      </c>
      <c r="Q10" s="282" t="str">
        <f t="shared" si="6"/>
        <v>nincs</v>
      </c>
      <c r="R10" s="313" t="s">
        <v>84</v>
      </c>
      <c r="S10" s="282" t="str">
        <f t="shared" si="7"/>
        <v>nincs</v>
      </c>
      <c r="T10" s="313" t="s">
        <v>84</v>
      </c>
      <c r="U10" s="282" t="str">
        <f t="shared" si="8"/>
        <v>nincs</v>
      </c>
    </row>
    <row r="11" spans="1:21" x14ac:dyDescent="0.35">
      <c r="A11">
        <v>4</v>
      </c>
      <c r="B11" s="71" t="s">
        <v>19</v>
      </c>
      <c r="D11" s="313" t="s">
        <v>84</v>
      </c>
      <c r="E11" s="282" t="str">
        <f t="shared" si="0"/>
        <v>nincs</v>
      </c>
      <c r="F11" s="313" t="s">
        <v>84</v>
      </c>
      <c r="G11" s="282" t="str">
        <f t="shared" si="1"/>
        <v>nincs</v>
      </c>
      <c r="H11" s="313" t="s">
        <v>84</v>
      </c>
      <c r="I11" s="282" t="str">
        <f t="shared" si="2"/>
        <v>nincs</v>
      </c>
      <c r="J11" s="313" t="s">
        <v>84</v>
      </c>
      <c r="K11" s="282" t="str">
        <f t="shared" si="3"/>
        <v>nincs</v>
      </c>
      <c r="L11" s="313" t="s">
        <v>84</v>
      </c>
      <c r="M11" s="282" t="str">
        <f t="shared" si="4"/>
        <v>nincs</v>
      </c>
      <c r="N11" s="313" t="s">
        <v>84</v>
      </c>
      <c r="O11" s="282" t="str">
        <f t="shared" si="5"/>
        <v>nincs</v>
      </c>
      <c r="P11" s="313" t="s">
        <v>84</v>
      </c>
      <c r="Q11" s="282" t="str">
        <f t="shared" si="6"/>
        <v>nincs</v>
      </c>
      <c r="R11" s="313" t="s">
        <v>84</v>
      </c>
      <c r="S11" s="282" t="str">
        <f t="shared" si="7"/>
        <v>nincs</v>
      </c>
      <c r="T11" s="313" t="s">
        <v>84</v>
      </c>
      <c r="U11" s="282" t="str">
        <f t="shared" si="8"/>
        <v>nincs</v>
      </c>
    </row>
    <row r="12" spans="1:21" x14ac:dyDescent="0.35">
      <c r="A12">
        <v>5</v>
      </c>
      <c r="B12" s="71" t="s">
        <v>20</v>
      </c>
      <c r="D12" s="313" t="s">
        <v>84</v>
      </c>
      <c r="E12" s="282" t="str">
        <f t="shared" si="0"/>
        <v>nincs</v>
      </c>
      <c r="F12" s="313" t="s">
        <v>84</v>
      </c>
      <c r="G12" s="282" t="str">
        <f t="shared" si="1"/>
        <v>nincs</v>
      </c>
      <c r="H12" s="313" t="s">
        <v>84</v>
      </c>
      <c r="I12" s="282" t="str">
        <f t="shared" si="2"/>
        <v>nincs</v>
      </c>
      <c r="J12" s="313" t="s">
        <v>84</v>
      </c>
      <c r="K12" s="282" t="str">
        <f t="shared" si="3"/>
        <v>nincs</v>
      </c>
      <c r="L12" s="313" t="s">
        <v>84</v>
      </c>
      <c r="M12" s="282" t="str">
        <f t="shared" si="4"/>
        <v>nincs</v>
      </c>
      <c r="N12" s="313" t="s">
        <v>84</v>
      </c>
      <c r="O12" s="282" t="str">
        <f t="shared" si="5"/>
        <v>nincs</v>
      </c>
      <c r="P12" s="313" t="s">
        <v>84</v>
      </c>
      <c r="Q12" s="282" t="str">
        <f t="shared" si="6"/>
        <v>nincs</v>
      </c>
      <c r="R12" s="313" t="s">
        <v>84</v>
      </c>
      <c r="S12" s="282" t="str">
        <f t="shared" si="7"/>
        <v>nincs</v>
      </c>
      <c r="T12" s="313" t="s">
        <v>84</v>
      </c>
      <c r="U12" s="282" t="str">
        <f t="shared" si="8"/>
        <v>nincs</v>
      </c>
    </row>
    <row r="13" spans="1:21" x14ac:dyDescent="0.35">
      <c r="A13">
        <v>6</v>
      </c>
      <c r="B13" s="69" t="s">
        <v>77</v>
      </c>
      <c r="D13" s="313" t="s">
        <v>84</v>
      </c>
      <c r="E13" s="282" t="str">
        <f t="shared" si="0"/>
        <v>nincs</v>
      </c>
      <c r="F13" s="313" t="s">
        <v>84</v>
      </c>
      <c r="G13" s="282" t="str">
        <f t="shared" si="1"/>
        <v>nincs</v>
      </c>
      <c r="H13" s="313" t="s">
        <v>84</v>
      </c>
      <c r="I13" s="282" t="str">
        <f t="shared" si="2"/>
        <v>nincs</v>
      </c>
      <c r="J13" s="313" t="s">
        <v>84</v>
      </c>
      <c r="K13" s="282" t="str">
        <f t="shared" si="3"/>
        <v>nincs</v>
      </c>
      <c r="L13" s="313" t="s">
        <v>84</v>
      </c>
      <c r="M13" s="282" t="str">
        <f t="shared" si="4"/>
        <v>nincs</v>
      </c>
      <c r="N13" s="313" t="s">
        <v>84</v>
      </c>
      <c r="O13" s="282" t="str">
        <f t="shared" si="5"/>
        <v>nincs</v>
      </c>
      <c r="P13" s="313" t="s">
        <v>84</v>
      </c>
      <c r="Q13" s="282" t="str">
        <f t="shared" si="6"/>
        <v>nincs</v>
      </c>
      <c r="R13" s="313" t="s">
        <v>84</v>
      </c>
      <c r="S13" s="282" t="str">
        <f t="shared" si="7"/>
        <v>nincs</v>
      </c>
      <c r="T13" s="313" t="s">
        <v>84</v>
      </c>
      <c r="U13" s="282" t="str">
        <f t="shared" si="8"/>
        <v>nincs</v>
      </c>
    </row>
    <row r="14" spans="1:21" x14ac:dyDescent="0.35">
      <c r="A14">
        <v>7</v>
      </c>
      <c r="B14" s="69" t="s">
        <v>464</v>
      </c>
      <c r="C14">
        <v>1</v>
      </c>
      <c r="D14" s="313">
        <v>405400</v>
      </c>
      <c r="E14" s="282">
        <f t="shared" si="0"/>
        <v>319213</v>
      </c>
      <c r="F14" s="313">
        <v>459900</v>
      </c>
      <c r="G14" s="282">
        <f t="shared" si="1"/>
        <v>362126</v>
      </c>
      <c r="H14" s="313">
        <v>437800</v>
      </c>
      <c r="I14" s="282">
        <f t="shared" si="2"/>
        <v>344724</v>
      </c>
      <c r="J14" s="313">
        <v>492300</v>
      </c>
      <c r="K14" s="282">
        <f t="shared" si="3"/>
        <v>387638</v>
      </c>
      <c r="L14" s="313">
        <v>496300</v>
      </c>
      <c r="M14" s="282">
        <f t="shared" si="4"/>
        <v>390787</v>
      </c>
      <c r="N14" s="313">
        <v>550800</v>
      </c>
      <c r="O14" s="282">
        <f t="shared" si="5"/>
        <v>433701</v>
      </c>
      <c r="P14" s="313">
        <v>432600</v>
      </c>
      <c r="Q14" s="282">
        <f t="shared" si="6"/>
        <v>340630</v>
      </c>
      <c r="R14" s="313">
        <v>464900</v>
      </c>
      <c r="S14" s="282">
        <f t="shared" si="7"/>
        <v>366063</v>
      </c>
      <c r="T14" s="313">
        <v>523500</v>
      </c>
      <c r="U14" s="282">
        <f t="shared" si="8"/>
        <v>412205</v>
      </c>
    </row>
    <row r="15" spans="1:21" x14ac:dyDescent="0.35">
      <c r="A15">
        <v>8</v>
      </c>
      <c r="B15" s="69" t="s">
        <v>78</v>
      </c>
      <c r="D15" s="313" t="s">
        <v>84</v>
      </c>
      <c r="E15" s="282" t="str">
        <f t="shared" si="0"/>
        <v>nincs</v>
      </c>
      <c r="F15" s="313" t="s">
        <v>84</v>
      </c>
      <c r="G15" s="282" t="str">
        <f t="shared" si="1"/>
        <v>nincs</v>
      </c>
      <c r="H15" s="313" t="s">
        <v>84</v>
      </c>
      <c r="I15" s="282" t="str">
        <f t="shared" si="2"/>
        <v>nincs</v>
      </c>
      <c r="J15" s="313" t="s">
        <v>84</v>
      </c>
      <c r="K15" s="282" t="str">
        <f t="shared" si="3"/>
        <v>nincs</v>
      </c>
      <c r="L15" s="313" t="s">
        <v>84</v>
      </c>
      <c r="M15" s="282" t="str">
        <f t="shared" si="4"/>
        <v>nincs</v>
      </c>
      <c r="N15" s="313" t="s">
        <v>84</v>
      </c>
      <c r="O15" s="282" t="str">
        <f t="shared" si="5"/>
        <v>nincs</v>
      </c>
      <c r="P15" s="313" t="s">
        <v>84</v>
      </c>
      <c r="Q15" s="282" t="str">
        <f t="shared" si="6"/>
        <v>nincs</v>
      </c>
      <c r="R15" s="313" t="s">
        <v>84</v>
      </c>
      <c r="S15" s="282" t="str">
        <f t="shared" si="7"/>
        <v>nincs</v>
      </c>
      <c r="T15" s="313" t="s">
        <v>84</v>
      </c>
      <c r="U15" s="282" t="str">
        <f t="shared" si="8"/>
        <v>nincs</v>
      </c>
    </row>
    <row r="16" spans="1:21" x14ac:dyDescent="0.35">
      <c r="A16">
        <v>9</v>
      </c>
      <c r="B16" s="71" t="s">
        <v>65</v>
      </c>
      <c r="D16" s="313" t="s">
        <v>84</v>
      </c>
      <c r="E16" s="282" t="str">
        <f t="shared" si="0"/>
        <v>nincs</v>
      </c>
      <c r="F16" s="313" t="s">
        <v>84</v>
      </c>
      <c r="G16" s="282" t="str">
        <f t="shared" si="1"/>
        <v>nincs</v>
      </c>
      <c r="H16" s="313" t="s">
        <v>84</v>
      </c>
      <c r="I16" s="282" t="str">
        <f t="shared" si="2"/>
        <v>nincs</v>
      </c>
      <c r="J16" s="313" t="s">
        <v>84</v>
      </c>
      <c r="K16" s="282" t="str">
        <f t="shared" si="3"/>
        <v>nincs</v>
      </c>
      <c r="L16" s="313" t="s">
        <v>84</v>
      </c>
      <c r="M16" s="282" t="str">
        <f t="shared" si="4"/>
        <v>nincs</v>
      </c>
      <c r="N16" s="313" t="s">
        <v>84</v>
      </c>
      <c r="O16" s="282" t="str">
        <f t="shared" si="5"/>
        <v>nincs</v>
      </c>
      <c r="P16" s="313" t="s">
        <v>84</v>
      </c>
      <c r="Q16" s="282" t="str">
        <f t="shared" si="6"/>
        <v>nincs</v>
      </c>
      <c r="R16" s="313" t="s">
        <v>84</v>
      </c>
      <c r="S16" s="282" t="str">
        <f t="shared" si="7"/>
        <v>nincs</v>
      </c>
      <c r="T16" s="313" t="s">
        <v>84</v>
      </c>
      <c r="U16" s="282" t="str">
        <f t="shared" si="8"/>
        <v>nincs</v>
      </c>
    </row>
    <row r="17" spans="1:21" x14ac:dyDescent="0.35">
      <c r="A17">
        <v>10</v>
      </c>
      <c r="B17" s="71" t="s">
        <v>372</v>
      </c>
      <c r="C17">
        <v>3</v>
      </c>
      <c r="D17" s="313">
        <v>404600</v>
      </c>
      <c r="E17" s="282">
        <f t="shared" si="0"/>
        <v>318583</v>
      </c>
      <c r="F17" s="313">
        <v>459200</v>
      </c>
      <c r="G17" s="282">
        <f t="shared" si="1"/>
        <v>361575</v>
      </c>
      <c r="H17" s="313">
        <v>437000</v>
      </c>
      <c r="I17" s="282">
        <f t="shared" si="2"/>
        <v>344094</v>
      </c>
      <c r="J17" s="313">
        <v>491600</v>
      </c>
      <c r="K17" s="282">
        <f t="shared" si="3"/>
        <v>387087</v>
      </c>
      <c r="L17" s="313">
        <v>495600</v>
      </c>
      <c r="M17" s="282">
        <f t="shared" si="4"/>
        <v>390236</v>
      </c>
      <c r="N17" s="313">
        <v>550200</v>
      </c>
      <c r="O17" s="282">
        <f t="shared" si="5"/>
        <v>433228</v>
      </c>
      <c r="P17" s="313">
        <v>431900</v>
      </c>
      <c r="Q17" s="282">
        <f t="shared" si="6"/>
        <v>340079</v>
      </c>
      <c r="R17" s="313">
        <v>464300</v>
      </c>
      <c r="S17" s="282">
        <f t="shared" si="7"/>
        <v>365591</v>
      </c>
      <c r="T17" s="313">
        <v>522900</v>
      </c>
      <c r="U17" s="282">
        <f t="shared" si="8"/>
        <v>411732</v>
      </c>
    </row>
    <row r="18" spans="1:21" x14ac:dyDescent="0.35">
      <c r="A18">
        <v>11</v>
      </c>
      <c r="B18" s="71" t="s">
        <v>141</v>
      </c>
      <c r="D18" s="313" t="s">
        <v>84</v>
      </c>
      <c r="E18" s="282" t="str">
        <f t="shared" si="0"/>
        <v>nincs</v>
      </c>
      <c r="F18" s="313" t="s">
        <v>84</v>
      </c>
      <c r="G18" s="282" t="str">
        <f t="shared" si="1"/>
        <v>nincs</v>
      </c>
      <c r="H18" s="313" t="s">
        <v>84</v>
      </c>
      <c r="I18" s="282" t="str">
        <f t="shared" si="2"/>
        <v>nincs</v>
      </c>
      <c r="J18" s="313" t="s">
        <v>84</v>
      </c>
      <c r="K18" s="282" t="str">
        <f t="shared" si="3"/>
        <v>nincs</v>
      </c>
      <c r="L18" s="313" t="s">
        <v>84</v>
      </c>
      <c r="M18" s="282" t="str">
        <f t="shared" si="4"/>
        <v>nincs</v>
      </c>
      <c r="N18" s="313" t="s">
        <v>84</v>
      </c>
      <c r="O18" s="282" t="str">
        <f t="shared" si="5"/>
        <v>nincs</v>
      </c>
      <c r="P18" s="313" t="s">
        <v>84</v>
      </c>
      <c r="Q18" s="282" t="str">
        <f t="shared" si="6"/>
        <v>nincs</v>
      </c>
      <c r="R18" s="313" t="s">
        <v>84</v>
      </c>
      <c r="S18" s="282" t="str">
        <f t="shared" si="7"/>
        <v>nincs</v>
      </c>
      <c r="T18" s="313" t="s">
        <v>84</v>
      </c>
      <c r="U18" s="282" t="str">
        <f t="shared" si="8"/>
        <v>nincs</v>
      </c>
    </row>
    <row r="19" spans="1:21" x14ac:dyDescent="0.35">
      <c r="A19">
        <v>12</v>
      </c>
      <c r="B19" s="71" t="s">
        <v>374</v>
      </c>
      <c r="C19">
        <v>2</v>
      </c>
      <c r="D19" s="313">
        <v>405400</v>
      </c>
      <c r="E19" s="282">
        <f t="shared" si="0"/>
        <v>319213</v>
      </c>
      <c r="F19" s="313">
        <v>459900</v>
      </c>
      <c r="G19" s="282">
        <f t="shared" si="1"/>
        <v>362126</v>
      </c>
      <c r="H19" s="313">
        <v>437800</v>
      </c>
      <c r="I19" s="282">
        <f t="shared" si="2"/>
        <v>344724</v>
      </c>
      <c r="J19" s="313">
        <v>492300</v>
      </c>
      <c r="K19" s="282">
        <f t="shared" si="3"/>
        <v>387638</v>
      </c>
      <c r="L19" s="313">
        <v>496300</v>
      </c>
      <c r="M19" s="282">
        <f t="shared" si="4"/>
        <v>390787</v>
      </c>
      <c r="N19" s="313">
        <v>550800</v>
      </c>
      <c r="O19" s="282">
        <f t="shared" si="5"/>
        <v>433701</v>
      </c>
      <c r="P19" s="313">
        <v>432600</v>
      </c>
      <c r="Q19" s="282">
        <f t="shared" si="6"/>
        <v>340630</v>
      </c>
      <c r="R19" s="313">
        <v>464900</v>
      </c>
      <c r="S19" s="282">
        <f t="shared" si="7"/>
        <v>366063</v>
      </c>
      <c r="T19" s="313">
        <v>523500</v>
      </c>
      <c r="U19" s="282">
        <f t="shared" si="8"/>
        <v>412205</v>
      </c>
    </row>
    <row r="20" spans="1:21" x14ac:dyDescent="0.35">
      <c r="A20">
        <v>13</v>
      </c>
      <c r="B20" s="71" t="s">
        <v>21</v>
      </c>
      <c r="D20" s="313" t="s">
        <v>84</v>
      </c>
      <c r="E20" s="282" t="str">
        <f t="shared" si="0"/>
        <v>nincs</v>
      </c>
      <c r="F20" s="313" t="s">
        <v>84</v>
      </c>
      <c r="G20" s="282" t="str">
        <f t="shared" si="1"/>
        <v>nincs</v>
      </c>
      <c r="H20" s="313" t="s">
        <v>84</v>
      </c>
      <c r="I20" s="282" t="str">
        <f t="shared" si="2"/>
        <v>nincs</v>
      </c>
      <c r="J20" s="313" t="s">
        <v>84</v>
      </c>
      <c r="K20" s="282" t="str">
        <f t="shared" si="3"/>
        <v>nincs</v>
      </c>
      <c r="L20" s="313" t="s">
        <v>84</v>
      </c>
      <c r="M20" s="282" t="str">
        <f t="shared" si="4"/>
        <v>nincs</v>
      </c>
      <c r="N20" s="313" t="s">
        <v>84</v>
      </c>
      <c r="O20" s="282" t="str">
        <f t="shared" si="5"/>
        <v>nincs</v>
      </c>
      <c r="P20" s="313" t="s">
        <v>84</v>
      </c>
      <c r="Q20" s="282" t="str">
        <f t="shared" si="6"/>
        <v>nincs</v>
      </c>
      <c r="R20" s="313" t="s">
        <v>84</v>
      </c>
      <c r="S20" s="282" t="str">
        <f t="shared" si="7"/>
        <v>nincs</v>
      </c>
      <c r="T20" s="313" t="s">
        <v>84</v>
      </c>
      <c r="U20" s="282" t="str">
        <f t="shared" si="8"/>
        <v>nincs</v>
      </c>
    </row>
    <row r="21" spans="1:21" x14ac:dyDescent="0.35">
      <c r="A21">
        <v>14</v>
      </c>
      <c r="B21" s="72" t="s">
        <v>79</v>
      </c>
      <c r="D21" s="313" t="s">
        <v>84</v>
      </c>
      <c r="E21" s="282" t="str">
        <f t="shared" si="0"/>
        <v>nincs</v>
      </c>
      <c r="F21" s="313" t="s">
        <v>84</v>
      </c>
      <c r="G21" s="282" t="str">
        <f t="shared" si="1"/>
        <v>nincs</v>
      </c>
      <c r="H21" s="313" t="s">
        <v>84</v>
      </c>
      <c r="I21" s="282" t="str">
        <f t="shared" si="2"/>
        <v>nincs</v>
      </c>
      <c r="J21" s="313" t="s">
        <v>84</v>
      </c>
      <c r="K21" s="282" t="str">
        <f t="shared" si="3"/>
        <v>nincs</v>
      </c>
      <c r="L21" s="313" t="s">
        <v>84</v>
      </c>
      <c r="M21" s="282" t="str">
        <f t="shared" si="4"/>
        <v>nincs</v>
      </c>
      <c r="N21" s="313" t="s">
        <v>84</v>
      </c>
      <c r="O21" s="282" t="str">
        <f t="shared" si="5"/>
        <v>nincs</v>
      </c>
      <c r="P21" s="313" t="s">
        <v>84</v>
      </c>
      <c r="Q21" s="282" t="str">
        <f t="shared" si="6"/>
        <v>nincs</v>
      </c>
      <c r="R21" s="313" t="s">
        <v>84</v>
      </c>
      <c r="S21" s="282" t="str">
        <f t="shared" si="7"/>
        <v>nincs</v>
      </c>
      <c r="T21" s="313" t="s">
        <v>84</v>
      </c>
      <c r="U21" s="282" t="str">
        <f t="shared" si="8"/>
        <v>nincs</v>
      </c>
    </row>
    <row r="22" spans="1:21" x14ac:dyDescent="0.35">
      <c r="A22">
        <v>15</v>
      </c>
      <c r="B22" s="72" t="s">
        <v>465</v>
      </c>
      <c r="C22">
        <v>4</v>
      </c>
      <c r="D22" s="313">
        <v>405400</v>
      </c>
      <c r="E22" s="282">
        <f t="shared" si="0"/>
        <v>319213</v>
      </c>
      <c r="F22" s="313">
        <v>459900</v>
      </c>
      <c r="G22" s="282">
        <f t="shared" si="1"/>
        <v>362126</v>
      </c>
      <c r="H22" s="313">
        <v>437800</v>
      </c>
      <c r="I22" s="282">
        <f t="shared" si="2"/>
        <v>344724</v>
      </c>
      <c r="J22" s="313">
        <v>492300</v>
      </c>
      <c r="K22" s="282">
        <f t="shared" si="3"/>
        <v>387638</v>
      </c>
      <c r="L22" s="313">
        <v>496300</v>
      </c>
      <c r="M22" s="282">
        <f t="shared" si="4"/>
        <v>390787</v>
      </c>
      <c r="N22" s="313">
        <v>550800</v>
      </c>
      <c r="O22" s="282">
        <f t="shared" si="5"/>
        <v>433701</v>
      </c>
      <c r="P22" s="313">
        <v>432600</v>
      </c>
      <c r="Q22" s="282">
        <f t="shared" si="6"/>
        <v>340630</v>
      </c>
      <c r="R22" s="313">
        <v>464900</v>
      </c>
      <c r="S22" s="282">
        <f t="shared" si="7"/>
        <v>366063</v>
      </c>
      <c r="T22" s="313">
        <v>523500</v>
      </c>
      <c r="U22" s="282">
        <f t="shared" si="8"/>
        <v>412205</v>
      </c>
    </row>
    <row r="23" spans="1:21" x14ac:dyDescent="0.35">
      <c r="A23">
        <v>16</v>
      </c>
      <c r="B23" s="72" t="s">
        <v>80</v>
      </c>
      <c r="D23" s="313" t="s">
        <v>84</v>
      </c>
      <c r="E23" s="282" t="str">
        <f t="shared" si="0"/>
        <v>nincs</v>
      </c>
      <c r="F23" s="313" t="s">
        <v>84</v>
      </c>
      <c r="G23" s="282" t="str">
        <f t="shared" si="1"/>
        <v>nincs</v>
      </c>
      <c r="H23" s="313" t="s">
        <v>84</v>
      </c>
      <c r="I23" s="282" t="str">
        <f t="shared" si="2"/>
        <v>nincs</v>
      </c>
      <c r="J23" s="313" t="s">
        <v>84</v>
      </c>
      <c r="K23" s="282" t="str">
        <f t="shared" si="3"/>
        <v>nincs</v>
      </c>
      <c r="L23" s="313" t="s">
        <v>84</v>
      </c>
      <c r="M23" s="282" t="str">
        <f t="shared" si="4"/>
        <v>nincs</v>
      </c>
      <c r="N23" s="313" t="s">
        <v>84</v>
      </c>
      <c r="O23" s="282" t="str">
        <f t="shared" si="5"/>
        <v>nincs</v>
      </c>
      <c r="P23" s="313" t="s">
        <v>84</v>
      </c>
      <c r="Q23" s="282" t="str">
        <f t="shared" si="6"/>
        <v>nincs</v>
      </c>
      <c r="R23" s="313" t="s">
        <v>84</v>
      </c>
      <c r="S23" s="282" t="str">
        <f t="shared" si="7"/>
        <v>nincs</v>
      </c>
      <c r="T23" s="313" t="s">
        <v>84</v>
      </c>
      <c r="U23" s="282" t="str">
        <f t="shared" si="8"/>
        <v>nincs</v>
      </c>
    </row>
    <row r="24" spans="1:21" x14ac:dyDescent="0.35">
      <c r="A24">
        <v>17</v>
      </c>
      <c r="B24" s="71" t="s">
        <v>66</v>
      </c>
      <c r="D24" s="313" t="s">
        <v>84</v>
      </c>
      <c r="E24" s="282" t="str">
        <f t="shared" si="0"/>
        <v>nincs</v>
      </c>
      <c r="F24" s="313" t="s">
        <v>84</v>
      </c>
      <c r="G24" s="282" t="str">
        <f t="shared" si="1"/>
        <v>nincs</v>
      </c>
      <c r="H24" s="313" t="s">
        <v>84</v>
      </c>
      <c r="I24" s="282" t="str">
        <f t="shared" si="2"/>
        <v>nincs</v>
      </c>
      <c r="J24" s="313" t="s">
        <v>84</v>
      </c>
      <c r="K24" s="282" t="str">
        <f t="shared" si="3"/>
        <v>nincs</v>
      </c>
      <c r="L24" s="313" t="s">
        <v>84</v>
      </c>
      <c r="M24" s="282" t="str">
        <f t="shared" si="4"/>
        <v>nincs</v>
      </c>
      <c r="N24" s="313" t="s">
        <v>84</v>
      </c>
      <c r="O24" s="282" t="str">
        <f t="shared" si="5"/>
        <v>nincs</v>
      </c>
      <c r="P24" s="313" t="s">
        <v>84</v>
      </c>
      <c r="Q24" s="282" t="str">
        <f t="shared" si="6"/>
        <v>nincs</v>
      </c>
      <c r="R24" s="313" t="s">
        <v>84</v>
      </c>
      <c r="S24" s="282" t="str">
        <f t="shared" si="7"/>
        <v>nincs</v>
      </c>
      <c r="T24" s="313" t="s">
        <v>84</v>
      </c>
      <c r="U24" s="282" t="str">
        <f t="shared" si="8"/>
        <v>nincs</v>
      </c>
    </row>
    <row r="25" spans="1:21" x14ac:dyDescent="0.35">
      <c r="A25">
        <v>18</v>
      </c>
      <c r="B25" s="71" t="s">
        <v>373</v>
      </c>
      <c r="C25">
        <v>8</v>
      </c>
      <c r="D25" s="313">
        <v>404600</v>
      </c>
      <c r="E25" s="282">
        <f t="shared" si="0"/>
        <v>318583</v>
      </c>
      <c r="F25" s="313">
        <v>459200</v>
      </c>
      <c r="G25" s="282">
        <f t="shared" si="1"/>
        <v>361575</v>
      </c>
      <c r="H25" s="313">
        <v>437000</v>
      </c>
      <c r="I25" s="282">
        <f t="shared" si="2"/>
        <v>344094</v>
      </c>
      <c r="J25" s="313">
        <v>491600</v>
      </c>
      <c r="K25" s="282">
        <f t="shared" si="3"/>
        <v>387087</v>
      </c>
      <c r="L25" s="313">
        <v>495600</v>
      </c>
      <c r="M25" s="282">
        <f t="shared" si="4"/>
        <v>390236</v>
      </c>
      <c r="N25" s="313">
        <v>550200</v>
      </c>
      <c r="O25" s="282">
        <f t="shared" si="5"/>
        <v>433228</v>
      </c>
      <c r="P25" s="313">
        <v>431900</v>
      </c>
      <c r="Q25" s="282">
        <f t="shared" si="6"/>
        <v>340079</v>
      </c>
      <c r="R25" s="313">
        <v>464300</v>
      </c>
      <c r="S25" s="282">
        <f t="shared" si="7"/>
        <v>365591</v>
      </c>
      <c r="T25" s="313">
        <v>522900</v>
      </c>
      <c r="U25" s="282">
        <f t="shared" si="8"/>
        <v>411732</v>
      </c>
    </row>
    <row r="26" spans="1:21" x14ac:dyDescent="0.35">
      <c r="A26">
        <v>19</v>
      </c>
      <c r="B26" s="71" t="s">
        <v>142</v>
      </c>
      <c r="D26" s="313" t="s">
        <v>84</v>
      </c>
      <c r="E26" s="282" t="str">
        <f t="shared" si="0"/>
        <v>nincs</v>
      </c>
      <c r="F26" s="313" t="s">
        <v>84</v>
      </c>
      <c r="G26" s="282" t="str">
        <f t="shared" si="1"/>
        <v>nincs</v>
      </c>
      <c r="H26" s="313" t="s">
        <v>84</v>
      </c>
      <c r="I26" s="282" t="str">
        <f t="shared" si="2"/>
        <v>nincs</v>
      </c>
      <c r="J26" s="313" t="s">
        <v>84</v>
      </c>
      <c r="K26" s="282" t="str">
        <f t="shared" si="3"/>
        <v>nincs</v>
      </c>
      <c r="L26" s="313" t="s">
        <v>84</v>
      </c>
      <c r="M26" s="282" t="str">
        <f t="shared" si="4"/>
        <v>nincs</v>
      </c>
      <c r="N26" s="313" t="s">
        <v>84</v>
      </c>
      <c r="O26" s="282" t="str">
        <f t="shared" si="5"/>
        <v>nincs</v>
      </c>
      <c r="P26" s="313" t="s">
        <v>84</v>
      </c>
      <c r="Q26" s="282" t="str">
        <f t="shared" si="6"/>
        <v>nincs</v>
      </c>
      <c r="R26" s="313" t="s">
        <v>84</v>
      </c>
      <c r="S26" s="282" t="str">
        <f t="shared" si="7"/>
        <v>nincs</v>
      </c>
      <c r="T26" s="313" t="s">
        <v>84</v>
      </c>
      <c r="U26" s="282" t="str">
        <f t="shared" si="8"/>
        <v>nincs</v>
      </c>
    </row>
    <row r="27" spans="1:21" x14ac:dyDescent="0.35">
      <c r="A27">
        <v>20</v>
      </c>
      <c r="B27" s="71" t="s">
        <v>375</v>
      </c>
      <c r="C27">
        <v>7</v>
      </c>
      <c r="D27" s="313">
        <v>405400</v>
      </c>
      <c r="E27" s="282">
        <f t="shared" si="0"/>
        <v>319213</v>
      </c>
      <c r="F27" s="313">
        <v>459900</v>
      </c>
      <c r="G27" s="282">
        <f t="shared" si="1"/>
        <v>362126</v>
      </c>
      <c r="H27" s="313">
        <v>437800</v>
      </c>
      <c r="I27" s="282">
        <f t="shared" si="2"/>
        <v>344724</v>
      </c>
      <c r="J27" s="313">
        <v>492300</v>
      </c>
      <c r="K27" s="282">
        <f t="shared" si="3"/>
        <v>387638</v>
      </c>
      <c r="L27" s="313">
        <v>496300</v>
      </c>
      <c r="M27" s="282">
        <f t="shared" si="4"/>
        <v>390787</v>
      </c>
      <c r="N27" s="313">
        <v>550800</v>
      </c>
      <c r="O27" s="282">
        <f t="shared" si="5"/>
        <v>433701</v>
      </c>
      <c r="P27" s="313">
        <v>432600</v>
      </c>
      <c r="Q27" s="282">
        <f t="shared" si="6"/>
        <v>340630</v>
      </c>
      <c r="R27" s="313">
        <v>464900</v>
      </c>
      <c r="S27" s="282">
        <f t="shared" si="7"/>
        <v>366063</v>
      </c>
      <c r="T27" s="313">
        <v>523500</v>
      </c>
      <c r="U27" s="282">
        <f t="shared" si="8"/>
        <v>412205</v>
      </c>
    </row>
    <row r="28" spans="1:21" x14ac:dyDescent="0.35">
      <c r="A28">
        <v>21</v>
      </c>
      <c r="B28" s="71" t="s">
        <v>376</v>
      </c>
      <c r="C28">
        <v>6</v>
      </c>
      <c r="D28" s="313">
        <v>429300</v>
      </c>
      <c r="E28" s="282">
        <f t="shared" si="0"/>
        <v>338031</v>
      </c>
      <c r="F28" s="313">
        <v>484400</v>
      </c>
      <c r="G28" s="282">
        <f t="shared" si="1"/>
        <v>381417</v>
      </c>
      <c r="H28" s="313">
        <v>461600</v>
      </c>
      <c r="I28" s="282">
        <f t="shared" si="2"/>
        <v>363465</v>
      </c>
      <c r="J28" s="313">
        <v>516800</v>
      </c>
      <c r="K28" s="282">
        <f t="shared" si="3"/>
        <v>406929</v>
      </c>
      <c r="L28" s="313">
        <v>520200</v>
      </c>
      <c r="M28" s="282">
        <f t="shared" si="4"/>
        <v>409606</v>
      </c>
      <c r="N28" s="313">
        <v>575300</v>
      </c>
      <c r="O28" s="282">
        <f t="shared" si="5"/>
        <v>452992</v>
      </c>
      <c r="P28" s="313">
        <v>456600</v>
      </c>
      <c r="Q28" s="282">
        <f t="shared" si="6"/>
        <v>359528</v>
      </c>
      <c r="R28" s="313">
        <v>489000</v>
      </c>
      <c r="S28" s="282">
        <f t="shared" si="7"/>
        <v>385039</v>
      </c>
      <c r="T28" s="313">
        <v>547500</v>
      </c>
      <c r="U28" s="282">
        <f t="shared" si="8"/>
        <v>431102</v>
      </c>
    </row>
    <row r="29" spans="1:21" x14ac:dyDescent="0.35">
      <c r="A29">
        <v>22</v>
      </c>
      <c r="B29" s="71" t="s">
        <v>67</v>
      </c>
      <c r="D29" s="313" t="s">
        <v>84</v>
      </c>
      <c r="E29" s="282" t="str">
        <f t="shared" si="0"/>
        <v>nincs</v>
      </c>
      <c r="F29" s="313" t="s">
        <v>84</v>
      </c>
      <c r="G29" s="282" t="str">
        <f t="shared" si="1"/>
        <v>nincs</v>
      </c>
      <c r="H29" s="313" t="s">
        <v>84</v>
      </c>
      <c r="I29" s="282" t="str">
        <f t="shared" si="2"/>
        <v>nincs</v>
      </c>
      <c r="J29" s="313" t="s">
        <v>84</v>
      </c>
      <c r="K29" s="282" t="str">
        <f t="shared" si="3"/>
        <v>nincs</v>
      </c>
      <c r="L29" s="313" t="s">
        <v>84</v>
      </c>
      <c r="M29" s="282" t="str">
        <f t="shared" si="4"/>
        <v>nincs</v>
      </c>
      <c r="N29" s="313" t="s">
        <v>84</v>
      </c>
      <c r="O29" s="282" t="str">
        <f t="shared" si="5"/>
        <v>nincs</v>
      </c>
      <c r="P29" s="313" t="s">
        <v>84</v>
      </c>
      <c r="Q29" s="282" t="str">
        <f t="shared" si="6"/>
        <v>nincs</v>
      </c>
      <c r="R29" s="313" t="s">
        <v>84</v>
      </c>
      <c r="S29" s="282" t="str">
        <f t="shared" si="7"/>
        <v>nincs</v>
      </c>
      <c r="T29" s="313" t="s">
        <v>84</v>
      </c>
      <c r="U29" s="282" t="str">
        <f t="shared" si="8"/>
        <v>nincs</v>
      </c>
    </row>
    <row r="30" spans="1:21" x14ac:dyDescent="0.35">
      <c r="A30">
        <v>23</v>
      </c>
      <c r="B30" s="71" t="s">
        <v>377</v>
      </c>
      <c r="C30">
        <v>5</v>
      </c>
      <c r="D30" s="313">
        <v>470000</v>
      </c>
      <c r="E30" s="282">
        <f t="shared" si="0"/>
        <v>370079</v>
      </c>
      <c r="F30" s="313">
        <v>532500</v>
      </c>
      <c r="G30" s="282">
        <f t="shared" si="1"/>
        <v>419291</v>
      </c>
      <c r="H30" s="313">
        <v>502400</v>
      </c>
      <c r="I30" s="282">
        <f t="shared" si="2"/>
        <v>395591</v>
      </c>
      <c r="J30" s="313">
        <v>564900</v>
      </c>
      <c r="K30" s="282">
        <f t="shared" si="3"/>
        <v>444803</v>
      </c>
      <c r="L30" s="313">
        <v>561000</v>
      </c>
      <c r="M30" s="282">
        <f t="shared" si="4"/>
        <v>441732</v>
      </c>
      <c r="N30" s="313">
        <v>623400</v>
      </c>
      <c r="O30" s="282">
        <f t="shared" si="5"/>
        <v>490866</v>
      </c>
      <c r="P30" s="313">
        <v>497300</v>
      </c>
      <c r="Q30" s="282">
        <f t="shared" si="6"/>
        <v>391575</v>
      </c>
      <c r="R30" s="313">
        <v>529700</v>
      </c>
      <c r="S30" s="282">
        <f t="shared" si="7"/>
        <v>417087</v>
      </c>
      <c r="T30" s="313">
        <v>588300</v>
      </c>
      <c r="U30" s="282">
        <f t="shared" si="8"/>
        <v>463228</v>
      </c>
    </row>
    <row r="31" spans="1:21" x14ac:dyDescent="0.35">
      <c r="A31">
        <v>24</v>
      </c>
      <c r="B31" s="71" t="s">
        <v>68</v>
      </c>
      <c r="D31" s="313" t="s">
        <v>84</v>
      </c>
      <c r="E31" s="282" t="str">
        <f t="shared" si="0"/>
        <v>nincs</v>
      </c>
      <c r="F31" s="313" t="s">
        <v>84</v>
      </c>
      <c r="G31" s="282" t="str">
        <f t="shared" si="1"/>
        <v>nincs</v>
      </c>
      <c r="H31" s="313" t="s">
        <v>84</v>
      </c>
      <c r="I31" s="282" t="str">
        <f t="shared" si="2"/>
        <v>nincs</v>
      </c>
      <c r="J31" s="313" t="s">
        <v>84</v>
      </c>
      <c r="K31" s="282" t="str">
        <f t="shared" si="3"/>
        <v>nincs</v>
      </c>
      <c r="L31" s="313" t="s">
        <v>84</v>
      </c>
      <c r="M31" s="282" t="str">
        <f t="shared" si="4"/>
        <v>nincs</v>
      </c>
      <c r="N31" s="313" t="s">
        <v>84</v>
      </c>
      <c r="O31" s="282" t="str">
        <f t="shared" si="5"/>
        <v>nincs</v>
      </c>
      <c r="P31" s="313" t="s">
        <v>84</v>
      </c>
      <c r="Q31" s="282" t="str">
        <f t="shared" si="6"/>
        <v>nincs</v>
      </c>
      <c r="R31" s="313" t="s">
        <v>84</v>
      </c>
      <c r="S31" s="282" t="str">
        <f t="shared" si="7"/>
        <v>nincs</v>
      </c>
      <c r="T31" s="313" t="s">
        <v>84</v>
      </c>
      <c r="U31" s="282" t="str">
        <f t="shared" si="8"/>
        <v>nincs</v>
      </c>
    </row>
    <row r="32" spans="1:21" x14ac:dyDescent="0.35">
      <c r="A32">
        <v>25</v>
      </c>
      <c r="B32" s="71" t="s">
        <v>72</v>
      </c>
      <c r="D32" s="313" t="s">
        <v>84</v>
      </c>
      <c r="E32" s="282" t="str">
        <f t="shared" si="0"/>
        <v>nincs</v>
      </c>
      <c r="F32" s="313" t="s">
        <v>84</v>
      </c>
      <c r="G32" s="282" t="str">
        <f t="shared" si="1"/>
        <v>nincs</v>
      </c>
      <c r="H32" s="313" t="s">
        <v>84</v>
      </c>
      <c r="I32" s="282" t="str">
        <f t="shared" si="2"/>
        <v>nincs</v>
      </c>
      <c r="J32" s="313" t="s">
        <v>84</v>
      </c>
      <c r="K32" s="282" t="str">
        <f t="shared" si="3"/>
        <v>nincs</v>
      </c>
      <c r="L32" s="313" t="s">
        <v>84</v>
      </c>
      <c r="M32" s="282" t="str">
        <f t="shared" si="4"/>
        <v>nincs</v>
      </c>
      <c r="N32" s="313" t="s">
        <v>84</v>
      </c>
      <c r="O32" s="282" t="str">
        <f t="shared" si="5"/>
        <v>nincs</v>
      </c>
      <c r="P32" s="313" t="s">
        <v>84</v>
      </c>
      <c r="Q32" s="282" t="str">
        <f t="shared" si="6"/>
        <v>nincs</v>
      </c>
      <c r="R32" s="313" t="s">
        <v>84</v>
      </c>
      <c r="S32" s="282" t="str">
        <f t="shared" si="7"/>
        <v>nincs</v>
      </c>
      <c r="T32" s="313" t="s">
        <v>84</v>
      </c>
      <c r="U32" s="282" t="str">
        <f t="shared" si="8"/>
        <v>nincs</v>
      </c>
    </row>
    <row r="33" spans="1:21" x14ac:dyDescent="0.35">
      <c r="A33">
        <v>26</v>
      </c>
      <c r="B33" s="71" t="s">
        <v>22</v>
      </c>
      <c r="D33" s="313" t="s">
        <v>84</v>
      </c>
      <c r="E33" s="282" t="str">
        <f t="shared" si="0"/>
        <v>nincs</v>
      </c>
      <c r="F33" s="313" t="s">
        <v>84</v>
      </c>
      <c r="G33" s="282" t="str">
        <f t="shared" si="1"/>
        <v>nincs</v>
      </c>
      <c r="H33" s="313" t="s">
        <v>84</v>
      </c>
      <c r="I33" s="282" t="str">
        <f t="shared" si="2"/>
        <v>nincs</v>
      </c>
      <c r="J33" s="313" t="s">
        <v>84</v>
      </c>
      <c r="K33" s="282" t="str">
        <f t="shared" si="3"/>
        <v>nincs</v>
      </c>
      <c r="L33" s="313" t="s">
        <v>84</v>
      </c>
      <c r="M33" s="282" t="str">
        <f t="shared" si="4"/>
        <v>nincs</v>
      </c>
      <c r="N33" s="313" t="s">
        <v>84</v>
      </c>
      <c r="O33" s="282" t="str">
        <f t="shared" si="5"/>
        <v>nincs</v>
      </c>
      <c r="P33" s="313" t="s">
        <v>84</v>
      </c>
      <c r="Q33" s="282" t="str">
        <f t="shared" si="6"/>
        <v>nincs</v>
      </c>
      <c r="R33" s="313" t="s">
        <v>84</v>
      </c>
      <c r="S33" s="282" t="str">
        <f t="shared" si="7"/>
        <v>nincs</v>
      </c>
      <c r="T33" s="313" t="s">
        <v>84</v>
      </c>
      <c r="U33" s="282" t="str">
        <f t="shared" si="8"/>
        <v>nincs</v>
      </c>
    </row>
    <row r="34" spans="1:21" x14ac:dyDescent="0.35">
      <c r="A34">
        <v>27</v>
      </c>
      <c r="B34" s="71" t="s">
        <v>378</v>
      </c>
      <c r="C34">
        <v>11</v>
      </c>
      <c r="D34" s="313">
        <v>452800</v>
      </c>
      <c r="E34" s="282">
        <f t="shared" si="0"/>
        <v>356535</v>
      </c>
      <c r="F34" s="313">
        <v>495400</v>
      </c>
      <c r="G34" s="282">
        <f t="shared" si="1"/>
        <v>390079</v>
      </c>
      <c r="H34" s="313">
        <v>485100</v>
      </c>
      <c r="I34" s="282">
        <f t="shared" si="2"/>
        <v>381969</v>
      </c>
      <c r="J34" s="313">
        <v>527800</v>
      </c>
      <c r="K34" s="282">
        <f t="shared" si="3"/>
        <v>415591</v>
      </c>
      <c r="L34" s="313">
        <v>543700</v>
      </c>
      <c r="M34" s="282">
        <f t="shared" si="4"/>
        <v>428110</v>
      </c>
      <c r="N34" s="313">
        <v>586400</v>
      </c>
      <c r="O34" s="282">
        <f t="shared" si="5"/>
        <v>461732</v>
      </c>
      <c r="P34" s="313">
        <v>480100</v>
      </c>
      <c r="Q34" s="282">
        <f t="shared" si="6"/>
        <v>378031</v>
      </c>
      <c r="R34" s="313">
        <v>512400</v>
      </c>
      <c r="S34" s="282">
        <f t="shared" si="7"/>
        <v>403465</v>
      </c>
      <c r="T34" s="313">
        <v>571000</v>
      </c>
      <c r="U34" s="282">
        <f t="shared" si="8"/>
        <v>449606</v>
      </c>
    </row>
    <row r="35" spans="1:21" x14ac:dyDescent="0.35">
      <c r="A35">
        <v>28</v>
      </c>
      <c r="B35" s="71" t="s">
        <v>379</v>
      </c>
      <c r="C35">
        <v>10</v>
      </c>
      <c r="D35" s="313">
        <v>472700</v>
      </c>
      <c r="E35" s="282">
        <f t="shared" si="0"/>
        <v>372205</v>
      </c>
      <c r="F35" s="313">
        <v>515500</v>
      </c>
      <c r="G35" s="282">
        <f t="shared" si="1"/>
        <v>405906</v>
      </c>
      <c r="H35" s="313">
        <v>505100</v>
      </c>
      <c r="I35" s="282">
        <f t="shared" si="2"/>
        <v>397717</v>
      </c>
      <c r="J35" s="313">
        <v>547900</v>
      </c>
      <c r="K35" s="282">
        <f t="shared" si="3"/>
        <v>431417</v>
      </c>
      <c r="L35" s="313">
        <v>563600</v>
      </c>
      <c r="M35" s="282">
        <f t="shared" si="4"/>
        <v>443780</v>
      </c>
      <c r="N35" s="313">
        <v>606400</v>
      </c>
      <c r="O35" s="282">
        <f t="shared" si="5"/>
        <v>477480</v>
      </c>
      <c r="P35" s="313">
        <v>500000</v>
      </c>
      <c r="Q35" s="282">
        <f t="shared" si="6"/>
        <v>393701</v>
      </c>
      <c r="R35" s="313">
        <v>532400</v>
      </c>
      <c r="S35" s="282">
        <f t="shared" si="7"/>
        <v>419213</v>
      </c>
      <c r="T35" s="313">
        <v>590900</v>
      </c>
      <c r="U35" s="282">
        <f t="shared" si="8"/>
        <v>465276</v>
      </c>
    </row>
    <row r="36" spans="1:21" x14ac:dyDescent="0.35">
      <c r="A36">
        <v>29</v>
      </c>
      <c r="B36" s="71" t="s">
        <v>69</v>
      </c>
      <c r="D36" s="313" t="s">
        <v>84</v>
      </c>
      <c r="E36" s="282" t="str">
        <f t="shared" si="0"/>
        <v>nincs</v>
      </c>
      <c r="F36" s="313" t="s">
        <v>84</v>
      </c>
      <c r="G36" s="282" t="str">
        <f t="shared" si="1"/>
        <v>nincs</v>
      </c>
      <c r="H36" s="313" t="s">
        <v>84</v>
      </c>
      <c r="I36" s="282" t="str">
        <f t="shared" si="2"/>
        <v>nincs</v>
      </c>
      <c r="J36" s="313" t="s">
        <v>84</v>
      </c>
      <c r="K36" s="282" t="str">
        <f t="shared" si="3"/>
        <v>nincs</v>
      </c>
      <c r="L36" s="313" t="s">
        <v>84</v>
      </c>
      <c r="M36" s="282" t="str">
        <f t="shared" si="4"/>
        <v>nincs</v>
      </c>
      <c r="N36" s="313" t="s">
        <v>84</v>
      </c>
      <c r="O36" s="282" t="str">
        <f t="shared" si="5"/>
        <v>nincs</v>
      </c>
      <c r="P36" s="313" t="s">
        <v>84</v>
      </c>
      <c r="Q36" s="282" t="str">
        <f t="shared" si="6"/>
        <v>nincs</v>
      </c>
      <c r="R36" s="313" t="s">
        <v>84</v>
      </c>
      <c r="S36" s="282" t="str">
        <f t="shared" si="7"/>
        <v>nincs</v>
      </c>
      <c r="T36" s="313" t="s">
        <v>84</v>
      </c>
      <c r="U36" s="282" t="str">
        <f t="shared" si="8"/>
        <v>nincs</v>
      </c>
    </row>
    <row r="37" spans="1:21" x14ac:dyDescent="0.35">
      <c r="A37">
        <v>30</v>
      </c>
      <c r="B37" s="71" t="s">
        <v>380</v>
      </c>
      <c r="C37">
        <v>9</v>
      </c>
      <c r="D37" s="313">
        <v>521300</v>
      </c>
      <c r="E37" s="282">
        <f t="shared" si="0"/>
        <v>410472</v>
      </c>
      <c r="F37" s="313">
        <v>567100</v>
      </c>
      <c r="G37" s="282">
        <f t="shared" si="1"/>
        <v>446535</v>
      </c>
      <c r="H37" s="313">
        <v>553700</v>
      </c>
      <c r="I37" s="282">
        <f t="shared" si="2"/>
        <v>435984</v>
      </c>
      <c r="J37" s="313">
        <v>599400</v>
      </c>
      <c r="K37" s="282">
        <f t="shared" si="3"/>
        <v>471969</v>
      </c>
      <c r="L37" s="313">
        <v>612300</v>
      </c>
      <c r="M37" s="282">
        <f t="shared" si="4"/>
        <v>482126</v>
      </c>
      <c r="N37" s="313">
        <v>658000</v>
      </c>
      <c r="O37" s="282">
        <f t="shared" si="5"/>
        <v>518110</v>
      </c>
      <c r="P37" s="313">
        <v>548500</v>
      </c>
      <c r="Q37" s="282">
        <f t="shared" si="6"/>
        <v>431890</v>
      </c>
      <c r="R37" s="313">
        <v>580900</v>
      </c>
      <c r="S37" s="282">
        <f t="shared" si="7"/>
        <v>457402</v>
      </c>
      <c r="T37" s="313">
        <v>639400</v>
      </c>
      <c r="U37" s="282">
        <f t="shared" si="8"/>
        <v>503465</v>
      </c>
    </row>
    <row r="38" spans="1:21" x14ac:dyDescent="0.35">
      <c r="A38">
        <v>31</v>
      </c>
      <c r="B38" s="71" t="s">
        <v>70</v>
      </c>
      <c r="D38" s="313" t="s">
        <v>84</v>
      </c>
      <c r="E38" s="282" t="str">
        <f t="shared" si="0"/>
        <v>nincs</v>
      </c>
      <c r="F38" s="313" t="s">
        <v>84</v>
      </c>
      <c r="G38" s="282" t="str">
        <f t="shared" si="1"/>
        <v>nincs</v>
      </c>
      <c r="H38" s="313" t="s">
        <v>84</v>
      </c>
      <c r="I38" s="282" t="str">
        <f t="shared" si="2"/>
        <v>nincs</v>
      </c>
      <c r="J38" s="313" t="s">
        <v>84</v>
      </c>
      <c r="K38" s="282" t="str">
        <f t="shared" si="3"/>
        <v>nincs</v>
      </c>
      <c r="L38" s="313" t="s">
        <v>84</v>
      </c>
      <c r="M38" s="282" t="str">
        <f t="shared" si="4"/>
        <v>nincs</v>
      </c>
      <c r="N38" s="313" t="s">
        <v>84</v>
      </c>
      <c r="O38" s="282" t="str">
        <f t="shared" si="5"/>
        <v>nincs</v>
      </c>
      <c r="P38" s="313" t="s">
        <v>84</v>
      </c>
      <c r="Q38" s="282" t="str">
        <f t="shared" si="6"/>
        <v>nincs</v>
      </c>
      <c r="R38" s="313" t="s">
        <v>84</v>
      </c>
      <c r="S38" s="282" t="str">
        <f t="shared" si="7"/>
        <v>nincs</v>
      </c>
      <c r="T38" s="313" t="s">
        <v>84</v>
      </c>
      <c r="U38" s="282" t="str">
        <f t="shared" si="8"/>
        <v>nincs</v>
      </c>
    </row>
    <row r="39" spans="1:21" x14ac:dyDescent="0.35">
      <c r="A39">
        <v>32</v>
      </c>
      <c r="B39" s="72" t="s">
        <v>81</v>
      </c>
      <c r="D39" s="313" t="s">
        <v>84</v>
      </c>
      <c r="E39" s="282" t="str">
        <f t="shared" si="0"/>
        <v>nincs</v>
      </c>
      <c r="F39" s="313" t="s">
        <v>84</v>
      </c>
      <c r="G39" s="282" t="str">
        <f t="shared" si="1"/>
        <v>nincs</v>
      </c>
      <c r="H39" s="313" t="s">
        <v>84</v>
      </c>
      <c r="I39" s="282" t="str">
        <f t="shared" si="2"/>
        <v>nincs</v>
      </c>
      <c r="J39" s="313" t="s">
        <v>84</v>
      </c>
      <c r="K39" s="282" t="str">
        <f t="shared" si="3"/>
        <v>nincs</v>
      </c>
      <c r="L39" s="313" t="s">
        <v>84</v>
      </c>
      <c r="M39" s="282" t="str">
        <f t="shared" si="4"/>
        <v>nincs</v>
      </c>
      <c r="N39" s="313" t="s">
        <v>84</v>
      </c>
      <c r="O39" s="282" t="str">
        <f t="shared" si="5"/>
        <v>nincs</v>
      </c>
      <c r="P39" s="313" t="s">
        <v>84</v>
      </c>
      <c r="Q39" s="282" t="str">
        <f t="shared" si="6"/>
        <v>nincs</v>
      </c>
      <c r="R39" s="313" t="s">
        <v>84</v>
      </c>
      <c r="S39" s="282" t="str">
        <f t="shared" si="7"/>
        <v>nincs</v>
      </c>
      <c r="T39" s="313" t="s">
        <v>84</v>
      </c>
      <c r="U39" s="282" t="str">
        <f t="shared" si="8"/>
        <v>nincs</v>
      </c>
    </row>
    <row r="40" spans="1:21" x14ac:dyDescent="0.35">
      <c r="A40">
        <v>33</v>
      </c>
      <c r="B40" s="71" t="s">
        <v>381</v>
      </c>
      <c r="C40">
        <v>16</v>
      </c>
      <c r="D40" s="313">
        <v>474700</v>
      </c>
      <c r="E40" s="282">
        <f t="shared" ref="E40:E71" si="9">IF(D40="nincs","nincs",ROUND(D40/1.27,0))</f>
        <v>373780</v>
      </c>
      <c r="F40" s="313">
        <v>522500</v>
      </c>
      <c r="G40" s="282">
        <f t="shared" ref="G40:G71" si="10">IF(F40="nincs","nincs",ROUND(F40/1.27,0))</f>
        <v>411417</v>
      </c>
      <c r="H40" s="313">
        <v>507100</v>
      </c>
      <c r="I40" s="282">
        <f t="shared" ref="I40:I71" si="11">IF(H40="nincs","nincs",ROUND(H40/1.27,0))</f>
        <v>399291</v>
      </c>
      <c r="J40" s="313">
        <v>554900</v>
      </c>
      <c r="K40" s="282">
        <f t="shared" ref="K40:K71" si="12">IF(J40="nincs","nincs",ROUND(J40/1.27,0))</f>
        <v>436929</v>
      </c>
      <c r="L40" s="313">
        <v>454700</v>
      </c>
      <c r="M40" s="282">
        <f t="shared" ref="M40:M71" si="13">IF(L40="nincs","nincs",ROUND(L40/1.27,0))</f>
        <v>358031</v>
      </c>
      <c r="N40" s="313">
        <v>613400</v>
      </c>
      <c r="O40" s="282">
        <f t="shared" ref="O40:O71" si="14">IF(N40="nincs","nincs",ROUND(N40/1.27,0))</f>
        <v>482992</v>
      </c>
      <c r="P40" s="313">
        <v>502000</v>
      </c>
      <c r="Q40" s="282">
        <f t="shared" ref="Q40:Q71" si="15">IF(P40="nincs","nincs",ROUND(P40/1.27,0))</f>
        <v>395276</v>
      </c>
      <c r="R40" s="313">
        <v>534400</v>
      </c>
      <c r="S40" s="282">
        <f t="shared" ref="S40:S71" si="16">IF(R40="nincs","nincs",ROUND(R40/1.27,0))</f>
        <v>420787</v>
      </c>
      <c r="T40" s="313">
        <v>593000</v>
      </c>
      <c r="U40" s="282">
        <f t="shared" ref="U40:U71" si="17">IF(T40="nincs","nincs",ROUND(T40/1.27,0))</f>
        <v>466929</v>
      </c>
    </row>
    <row r="41" spans="1:21" x14ac:dyDescent="0.35">
      <c r="A41">
        <v>34</v>
      </c>
      <c r="B41" s="71" t="s">
        <v>382</v>
      </c>
      <c r="C41">
        <v>15</v>
      </c>
      <c r="D41" s="313">
        <v>475500</v>
      </c>
      <c r="E41" s="282">
        <f t="shared" si="9"/>
        <v>374409</v>
      </c>
      <c r="F41" s="313">
        <v>523200</v>
      </c>
      <c r="G41" s="282">
        <f t="shared" si="10"/>
        <v>411969</v>
      </c>
      <c r="H41" s="313">
        <v>507900</v>
      </c>
      <c r="I41" s="282">
        <f t="shared" si="11"/>
        <v>399921</v>
      </c>
      <c r="J41" s="313">
        <v>555600</v>
      </c>
      <c r="K41" s="282">
        <f t="shared" si="12"/>
        <v>437480</v>
      </c>
      <c r="L41" s="313">
        <v>566400</v>
      </c>
      <c r="M41" s="282">
        <f t="shared" si="13"/>
        <v>445984</v>
      </c>
      <c r="N41" s="313">
        <v>614200</v>
      </c>
      <c r="O41" s="282">
        <f t="shared" si="14"/>
        <v>483622</v>
      </c>
      <c r="P41" s="313">
        <v>502800</v>
      </c>
      <c r="Q41" s="282">
        <f t="shared" si="15"/>
        <v>395906</v>
      </c>
      <c r="R41" s="313">
        <v>535200</v>
      </c>
      <c r="S41" s="282">
        <f t="shared" si="16"/>
        <v>421417</v>
      </c>
      <c r="T41" s="313">
        <v>593700</v>
      </c>
      <c r="U41" s="282">
        <f t="shared" si="17"/>
        <v>467480</v>
      </c>
    </row>
    <row r="42" spans="1:21" x14ac:dyDescent="0.35">
      <c r="A42">
        <v>35</v>
      </c>
      <c r="B42" s="71" t="s">
        <v>383</v>
      </c>
      <c r="C42">
        <v>14</v>
      </c>
      <c r="D42" s="313">
        <v>495000</v>
      </c>
      <c r="E42" s="282">
        <f t="shared" si="9"/>
        <v>389764</v>
      </c>
      <c r="F42" s="313">
        <v>542500</v>
      </c>
      <c r="G42" s="282">
        <f t="shared" si="10"/>
        <v>427165</v>
      </c>
      <c r="H42" s="313">
        <v>527400</v>
      </c>
      <c r="I42" s="282">
        <f t="shared" si="11"/>
        <v>415276</v>
      </c>
      <c r="J42" s="313">
        <v>574900</v>
      </c>
      <c r="K42" s="282">
        <f t="shared" si="12"/>
        <v>452677</v>
      </c>
      <c r="L42" s="313">
        <v>586000</v>
      </c>
      <c r="M42" s="282">
        <f t="shared" si="13"/>
        <v>461417</v>
      </c>
      <c r="N42" s="313">
        <v>633500</v>
      </c>
      <c r="O42" s="282">
        <f t="shared" si="14"/>
        <v>498819</v>
      </c>
      <c r="P42" s="313">
        <v>522400</v>
      </c>
      <c r="Q42" s="282">
        <f t="shared" si="15"/>
        <v>411339</v>
      </c>
      <c r="R42" s="313">
        <v>554700</v>
      </c>
      <c r="S42" s="282">
        <f t="shared" si="16"/>
        <v>436772</v>
      </c>
      <c r="T42" s="313">
        <v>613300</v>
      </c>
      <c r="U42" s="282">
        <f t="shared" si="17"/>
        <v>482913</v>
      </c>
    </row>
    <row r="43" spans="1:21" x14ac:dyDescent="0.35">
      <c r="A43">
        <v>36</v>
      </c>
      <c r="B43" s="71" t="s">
        <v>71</v>
      </c>
      <c r="D43" s="313" t="s">
        <v>84</v>
      </c>
      <c r="E43" s="282" t="str">
        <f t="shared" si="9"/>
        <v>nincs</v>
      </c>
      <c r="F43" s="313" t="s">
        <v>84</v>
      </c>
      <c r="G43" s="282" t="str">
        <f t="shared" si="10"/>
        <v>nincs</v>
      </c>
      <c r="H43" s="313" t="s">
        <v>84</v>
      </c>
      <c r="I43" s="282" t="str">
        <f t="shared" si="11"/>
        <v>nincs</v>
      </c>
      <c r="J43" s="313" t="s">
        <v>84</v>
      </c>
      <c r="K43" s="282" t="str">
        <f t="shared" si="12"/>
        <v>nincs</v>
      </c>
      <c r="L43" s="313" t="s">
        <v>84</v>
      </c>
      <c r="M43" s="282" t="str">
        <f t="shared" si="13"/>
        <v>nincs</v>
      </c>
      <c r="N43" s="313" t="s">
        <v>84</v>
      </c>
      <c r="O43" s="282" t="str">
        <f t="shared" si="14"/>
        <v>nincs</v>
      </c>
      <c r="P43" s="313" t="s">
        <v>84</v>
      </c>
      <c r="Q43" s="282" t="str">
        <f t="shared" si="15"/>
        <v>nincs</v>
      </c>
      <c r="R43" s="313" t="s">
        <v>84</v>
      </c>
      <c r="S43" s="282" t="str">
        <f t="shared" si="16"/>
        <v>nincs</v>
      </c>
      <c r="T43" s="313" t="s">
        <v>84</v>
      </c>
      <c r="U43" s="282" t="str">
        <f t="shared" si="17"/>
        <v>nincs</v>
      </c>
    </row>
    <row r="44" spans="1:21" x14ac:dyDescent="0.35">
      <c r="A44">
        <v>37</v>
      </c>
      <c r="B44" s="71" t="s">
        <v>384</v>
      </c>
      <c r="C44">
        <v>13</v>
      </c>
      <c r="D44" s="313">
        <v>545600</v>
      </c>
      <c r="E44" s="282">
        <f t="shared" si="9"/>
        <v>429606</v>
      </c>
      <c r="F44" s="313">
        <v>595800</v>
      </c>
      <c r="G44" s="282">
        <f t="shared" si="10"/>
        <v>469134</v>
      </c>
      <c r="H44" s="313">
        <v>578000</v>
      </c>
      <c r="I44" s="282">
        <f t="shared" si="11"/>
        <v>455118</v>
      </c>
      <c r="J44" s="313">
        <v>628100</v>
      </c>
      <c r="K44" s="282">
        <f t="shared" si="12"/>
        <v>494567</v>
      </c>
      <c r="L44" s="313">
        <v>636500</v>
      </c>
      <c r="M44" s="282">
        <f t="shared" si="13"/>
        <v>501181</v>
      </c>
      <c r="N44" s="313">
        <v>686700</v>
      </c>
      <c r="O44" s="282">
        <f t="shared" si="14"/>
        <v>540709</v>
      </c>
      <c r="P44" s="313">
        <v>572900</v>
      </c>
      <c r="Q44" s="282">
        <f t="shared" si="15"/>
        <v>451102</v>
      </c>
      <c r="R44" s="313">
        <v>605300</v>
      </c>
      <c r="S44" s="282">
        <f t="shared" si="16"/>
        <v>476614</v>
      </c>
      <c r="T44" s="313">
        <v>663800</v>
      </c>
      <c r="U44" s="282">
        <f t="shared" si="17"/>
        <v>522677</v>
      </c>
    </row>
    <row r="45" spans="1:21" x14ac:dyDescent="0.35">
      <c r="A45">
        <v>38</v>
      </c>
      <c r="B45" s="71" t="s">
        <v>469</v>
      </c>
      <c r="C45">
        <v>12</v>
      </c>
      <c r="D45" s="313" t="s">
        <v>84</v>
      </c>
      <c r="E45" s="282" t="str">
        <f t="shared" si="9"/>
        <v>nincs</v>
      </c>
      <c r="F45" s="313" t="s">
        <v>84</v>
      </c>
      <c r="G45" s="282" t="str">
        <f t="shared" si="10"/>
        <v>nincs</v>
      </c>
      <c r="H45" s="313" t="s">
        <v>84</v>
      </c>
      <c r="I45" s="282" t="str">
        <f t="shared" si="11"/>
        <v>nincs</v>
      </c>
      <c r="J45" s="313" t="s">
        <v>84</v>
      </c>
      <c r="K45" s="282" t="str">
        <f t="shared" si="12"/>
        <v>nincs</v>
      </c>
      <c r="L45" s="313">
        <v>718400</v>
      </c>
      <c r="M45" s="282">
        <f t="shared" si="13"/>
        <v>565669</v>
      </c>
      <c r="N45" s="313">
        <v>782100</v>
      </c>
      <c r="O45" s="282">
        <f t="shared" si="14"/>
        <v>615827</v>
      </c>
      <c r="P45" s="313" t="s">
        <v>84</v>
      </c>
      <c r="Q45" s="282" t="str">
        <f t="shared" si="15"/>
        <v>nincs</v>
      </c>
      <c r="R45" s="313" t="s">
        <v>84</v>
      </c>
      <c r="S45" s="282" t="str">
        <f t="shared" si="16"/>
        <v>nincs</v>
      </c>
      <c r="T45" s="313">
        <v>745700</v>
      </c>
      <c r="U45" s="282">
        <f t="shared" si="17"/>
        <v>587165</v>
      </c>
    </row>
    <row r="46" spans="1:21" x14ac:dyDescent="0.35">
      <c r="A46">
        <v>39</v>
      </c>
      <c r="B46" s="71" t="s">
        <v>23</v>
      </c>
      <c r="D46" s="313" t="s">
        <v>84</v>
      </c>
      <c r="E46" s="282" t="str">
        <f t="shared" si="9"/>
        <v>nincs</v>
      </c>
      <c r="F46" s="313" t="s">
        <v>84</v>
      </c>
      <c r="G46" s="282" t="str">
        <f t="shared" si="10"/>
        <v>nincs</v>
      </c>
      <c r="H46" s="313" t="s">
        <v>84</v>
      </c>
      <c r="I46" s="282" t="str">
        <f t="shared" si="11"/>
        <v>nincs</v>
      </c>
      <c r="J46" s="313" t="s">
        <v>84</v>
      </c>
      <c r="K46" s="282" t="str">
        <f t="shared" si="12"/>
        <v>nincs</v>
      </c>
      <c r="L46" s="313" t="s">
        <v>84</v>
      </c>
      <c r="M46" s="282" t="str">
        <f t="shared" si="13"/>
        <v>nincs</v>
      </c>
      <c r="N46" s="313" t="s">
        <v>84</v>
      </c>
      <c r="O46" s="282" t="str">
        <f t="shared" si="14"/>
        <v>nincs</v>
      </c>
      <c r="P46" s="313" t="s">
        <v>84</v>
      </c>
      <c r="Q46" s="282" t="str">
        <f t="shared" si="15"/>
        <v>nincs</v>
      </c>
      <c r="R46" s="313" t="s">
        <v>84</v>
      </c>
      <c r="S46" s="282" t="str">
        <f t="shared" si="16"/>
        <v>nincs</v>
      </c>
      <c r="T46" s="313" t="s">
        <v>84</v>
      </c>
      <c r="U46" s="282" t="str">
        <f t="shared" si="17"/>
        <v>nincs</v>
      </c>
    </row>
    <row r="47" spans="1:21" x14ac:dyDescent="0.35">
      <c r="A47">
        <v>40</v>
      </c>
      <c r="B47" s="71" t="s">
        <v>24</v>
      </c>
      <c r="D47" s="313" t="s">
        <v>84</v>
      </c>
      <c r="E47" s="282" t="str">
        <f t="shared" si="9"/>
        <v>nincs</v>
      </c>
      <c r="F47" s="313" t="s">
        <v>84</v>
      </c>
      <c r="G47" s="282" t="str">
        <f t="shared" si="10"/>
        <v>nincs</v>
      </c>
      <c r="H47" s="313" t="s">
        <v>84</v>
      </c>
      <c r="I47" s="282" t="str">
        <f t="shared" si="11"/>
        <v>nincs</v>
      </c>
      <c r="J47" s="313" t="s">
        <v>84</v>
      </c>
      <c r="K47" s="282" t="str">
        <f t="shared" si="12"/>
        <v>nincs</v>
      </c>
      <c r="L47" s="313" t="s">
        <v>84</v>
      </c>
      <c r="M47" s="282" t="str">
        <f t="shared" si="13"/>
        <v>nincs</v>
      </c>
      <c r="N47" s="313" t="s">
        <v>84</v>
      </c>
      <c r="O47" s="282" t="str">
        <f t="shared" si="14"/>
        <v>nincs</v>
      </c>
      <c r="P47" s="313" t="s">
        <v>84</v>
      </c>
      <c r="Q47" s="282" t="str">
        <f t="shared" si="15"/>
        <v>nincs</v>
      </c>
      <c r="R47" s="313" t="s">
        <v>84</v>
      </c>
      <c r="S47" s="282" t="str">
        <f t="shared" si="16"/>
        <v>nincs</v>
      </c>
      <c r="T47" s="313" t="s">
        <v>84</v>
      </c>
      <c r="U47" s="282" t="str">
        <f t="shared" si="17"/>
        <v>nincs</v>
      </c>
    </row>
    <row r="48" spans="1:21" x14ac:dyDescent="0.35">
      <c r="A48">
        <v>41</v>
      </c>
      <c r="B48" s="71" t="s">
        <v>25</v>
      </c>
      <c r="D48" s="313" t="s">
        <v>84</v>
      </c>
      <c r="E48" s="282" t="str">
        <f t="shared" si="9"/>
        <v>nincs</v>
      </c>
      <c r="F48" s="313" t="s">
        <v>84</v>
      </c>
      <c r="G48" s="282" t="str">
        <f t="shared" si="10"/>
        <v>nincs</v>
      </c>
      <c r="H48" s="313" t="s">
        <v>84</v>
      </c>
      <c r="I48" s="282" t="str">
        <f t="shared" si="11"/>
        <v>nincs</v>
      </c>
      <c r="J48" s="313" t="s">
        <v>84</v>
      </c>
      <c r="K48" s="282" t="str">
        <f t="shared" si="12"/>
        <v>nincs</v>
      </c>
      <c r="L48" s="313" t="s">
        <v>84</v>
      </c>
      <c r="M48" s="282" t="str">
        <f t="shared" si="13"/>
        <v>nincs</v>
      </c>
      <c r="N48" s="313" t="s">
        <v>84</v>
      </c>
      <c r="O48" s="282" t="str">
        <f t="shared" si="14"/>
        <v>nincs</v>
      </c>
      <c r="P48" s="313" t="s">
        <v>84</v>
      </c>
      <c r="Q48" s="282" t="str">
        <f t="shared" si="15"/>
        <v>nincs</v>
      </c>
      <c r="R48" s="313" t="s">
        <v>84</v>
      </c>
      <c r="S48" s="282" t="str">
        <f t="shared" si="16"/>
        <v>nincs</v>
      </c>
      <c r="T48" s="313" t="s">
        <v>84</v>
      </c>
      <c r="U48" s="282" t="str">
        <f t="shared" si="17"/>
        <v>nincs</v>
      </c>
    </row>
    <row r="49" spans="1:21" x14ac:dyDescent="0.35">
      <c r="A49">
        <v>42</v>
      </c>
      <c r="B49" s="71" t="s">
        <v>26</v>
      </c>
      <c r="D49" s="313" t="s">
        <v>84</v>
      </c>
      <c r="E49" s="282" t="str">
        <f t="shared" si="9"/>
        <v>nincs</v>
      </c>
      <c r="F49" s="313" t="s">
        <v>84</v>
      </c>
      <c r="G49" s="282" t="str">
        <f t="shared" si="10"/>
        <v>nincs</v>
      </c>
      <c r="H49" s="313" t="s">
        <v>84</v>
      </c>
      <c r="I49" s="282" t="str">
        <f t="shared" si="11"/>
        <v>nincs</v>
      </c>
      <c r="J49" s="313" t="s">
        <v>84</v>
      </c>
      <c r="K49" s="282" t="str">
        <f t="shared" si="12"/>
        <v>nincs</v>
      </c>
      <c r="L49" s="313" t="s">
        <v>84</v>
      </c>
      <c r="M49" s="282" t="str">
        <f t="shared" si="13"/>
        <v>nincs</v>
      </c>
      <c r="N49" s="313" t="s">
        <v>84</v>
      </c>
      <c r="O49" s="282" t="str">
        <f t="shared" si="14"/>
        <v>nincs</v>
      </c>
      <c r="P49" s="313" t="s">
        <v>84</v>
      </c>
      <c r="Q49" s="282" t="str">
        <f t="shared" si="15"/>
        <v>nincs</v>
      </c>
      <c r="R49" s="313" t="s">
        <v>84</v>
      </c>
      <c r="S49" s="282" t="str">
        <f t="shared" si="16"/>
        <v>nincs</v>
      </c>
      <c r="T49" s="313" t="s">
        <v>84</v>
      </c>
      <c r="U49" s="282" t="str">
        <f t="shared" si="17"/>
        <v>nincs</v>
      </c>
    </row>
    <row r="50" spans="1:21" x14ac:dyDescent="0.35">
      <c r="A50">
        <v>43</v>
      </c>
      <c r="B50" s="71" t="s">
        <v>450</v>
      </c>
      <c r="C50">
        <v>19</v>
      </c>
      <c r="D50" s="313">
        <v>511200</v>
      </c>
      <c r="E50" s="282">
        <f t="shared" si="9"/>
        <v>402520</v>
      </c>
      <c r="F50" s="313">
        <v>565800</v>
      </c>
      <c r="G50" s="282">
        <f t="shared" si="10"/>
        <v>445512</v>
      </c>
      <c r="H50" s="313">
        <v>543600</v>
      </c>
      <c r="I50" s="282">
        <f t="shared" si="11"/>
        <v>428031</v>
      </c>
      <c r="J50" s="313">
        <v>598200</v>
      </c>
      <c r="K50" s="282">
        <f t="shared" si="12"/>
        <v>471024</v>
      </c>
      <c r="L50" s="313">
        <v>602100</v>
      </c>
      <c r="M50" s="282">
        <f t="shared" si="13"/>
        <v>474094</v>
      </c>
      <c r="N50" s="313">
        <v>656700</v>
      </c>
      <c r="O50" s="282">
        <f t="shared" si="14"/>
        <v>517087</v>
      </c>
      <c r="P50" s="313">
        <v>538500</v>
      </c>
      <c r="Q50" s="282">
        <f t="shared" si="15"/>
        <v>424016</v>
      </c>
      <c r="R50" s="313">
        <v>570900</v>
      </c>
      <c r="S50" s="282">
        <f t="shared" si="16"/>
        <v>449528</v>
      </c>
      <c r="T50" s="313">
        <v>629400</v>
      </c>
      <c r="U50" s="282">
        <f t="shared" si="17"/>
        <v>495591</v>
      </c>
    </row>
    <row r="51" spans="1:21" x14ac:dyDescent="0.35">
      <c r="A51">
        <v>44</v>
      </c>
      <c r="B51" s="71" t="s">
        <v>451</v>
      </c>
      <c r="C51">
        <v>18</v>
      </c>
      <c r="D51" s="313">
        <v>531900</v>
      </c>
      <c r="E51" s="282">
        <f t="shared" si="9"/>
        <v>418819</v>
      </c>
      <c r="F51" s="313">
        <v>586700</v>
      </c>
      <c r="G51" s="282">
        <f t="shared" si="10"/>
        <v>461969</v>
      </c>
      <c r="H51" s="313">
        <v>564300</v>
      </c>
      <c r="I51" s="282">
        <f t="shared" si="11"/>
        <v>444331</v>
      </c>
      <c r="J51" s="313">
        <v>619100</v>
      </c>
      <c r="K51" s="282">
        <f t="shared" si="12"/>
        <v>487480</v>
      </c>
      <c r="L51" s="313">
        <v>622800</v>
      </c>
      <c r="M51" s="282">
        <f t="shared" si="13"/>
        <v>490394</v>
      </c>
      <c r="N51" s="313">
        <v>677700</v>
      </c>
      <c r="O51" s="282">
        <f t="shared" si="14"/>
        <v>533622</v>
      </c>
      <c r="P51" s="313">
        <v>559200</v>
      </c>
      <c r="Q51" s="282">
        <f t="shared" si="15"/>
        <v>440315</v>
      </c>
      <c r="R51" s="313">
        <v>591600</v>
      </c>
      <c r="S51" s="282">
        <f t="shared" si="16"/>
        <v>465827</v>
      </c>
      <c r="T51" s="313">
        <v>650100</v>
      </c>
      <c r="U51" s="282">
        <f t="shared" si="17"/>
        <v>511890</v>
      </c>
    </row>
    <row r="52" spans="1:21" x14ac:dyDescent="0.35">
      <c r="A52">
        <v>45</v>
      </c>
      <c r="B52" s="71" t="s">
        <v>27</v>
      </c>
      <c r="D52" s="313" t="s">
        <v>84</v>
      </c>
      <c r="E52" s="282" t="str">
        <f t="shared" si="9"/>
        <v>nincs</v>
      </c>
      <c r="F52" s="313" t="s">
        <v>84</v>
      </c>
      <c r="G52" s="282" t="str">
        <f t="shared" si="10"/>
        <v>nincs</v>
      </c>
      <c r="H52" s="313" t="s">
        <v>84</v>
      </c>
      <c r="I52" s="282" t="str">
        <f t="shared" si="11"/>
        <v>nincs</v>
      </c>
      <c r="J52" s="313" t="s">
        <v>84</v>
      </c>
      <c r="K52" s="282" t="str">
        <f t="shared" si="12"/>
        <v>nincs</v>
      </c>
      <c r="L52" s="313" t="s">
        <v>84</v>
      </c>
      <c r="M52" s="282" t="str">
        <f t="shared" si="13"/>
        <v>nincs</v>
      </c>
      <c r="N52" s="313" t="s">
        <v>84</v>
      </c>
      <c r="O52" s="282" t="str">
        <f t="shared" si="14"/>
        <v>nincs</v>
      </c>
      <c r="P52" s="313" t="s">
        <v>84</v>
      </c>
      <c r="Q52" s="282" t="str">
        <f t="shared" si="15"/>
        <v>nincs</v>
      </c>
      <c r="R52" s="313" t="s">
        <v>84</v>
      </c>
      <c r="S52" s="282" t="str">
        <f t="shared" si="16"/>
        <v>nincs</v>
      </c>
      <c r="T52" s="313" t="s">
        <v>84</v>
      </c>
      <c r="U52" s="282" t="str">
        <f t="shared" si="17"/>
        <v>nincs</v>
      </c>
    </row>
    <row r="53" spans="1:21" x14ac:dyDescent="0.35">
      <c r="A53">
        <v>46</v>
      </c>
      <c r="B53" s="71" t="s">
        <v>28</v>
      </c>
      <c r="D53" s="313" t="s">
        <v>84</v>
      </c>
      <c r="E53" s="282" t="str">
        <f t="shared" si="9"/>
        <v>nincs</v>
      </c>
      <c r="F53" s="313" t="s">
        <v>84</v>
      </c>
      <c r="G53" s="282" t="str">
        <f t="shared" si="10"/>
        <v>nincs</v>
      </c>
      <c r="H53" s="313" t="s">
        <v>84</v>
      </c>
      <c r="I53" s="282" t="str">
        <f t="shared" si="11"/>
        <v>nincs</v>
      </c>
      <c r="J53" s="313" t="s">
        <v>84</v>
      </c>
      <c r="K53" s="282" t="str">
        <f t="shared" si="12"/>
        <v>nincs</v>
      </c>
      <c r="L53" s="313" t="s">
        <v>84</v>
      </c>
      <c r="M53" s="282" t="str">
        <f t="shared" si="13"/>
        <v>nincs</v>
      </c>
      <c r="N53" s="313" t="s">
        <v>84</v>
      </c>
      <c r="O53" s="282" t="str">
        <f t="shared" si="14"/>
        <v>nincs</v>
      </c>
      <c r="P53" s="313" t="s">
        <v>84</v>
      </c>
      <c r="Q53" s="282" t="str">
        <f t="shared" si="15"/>
        <v>nincs</v>
      </c>
      <c r="R53" s="313" t="s">
        <v>84</v>
      </c>
      <c r="S53" s="282" t="str">
        <f t="shared" si="16"/>
        <v>nincs</v>
      </c>
      <c r="T53" s="313" t="s">
        <v>84</v>
      </c>
      <c r="U53" s="282" t="str">
        <f t="shared" si="17"/>
        <v>nincs</v>
      </c>
    </row>
    <row r="54" spans="1:21" x14ac:dyDescent="0.35">
      <c r="A54">
        <v>47</v>
      </c>
      <c r="B54" s="71" t="s">
        <v>29</v>
      </c>
      <c r="D54" s="313" t="s">
        <v>84</v>
      </c>
      <c r="E54" s="282" t="str">
        <f t="shared" si="9"/>
        <v>nincs</v>
      </c>
      <c r="F54" s="313" t="s">
        <v>84</v>
      </c>
      <c r="G54" s="282" t="str">
        <f t="shared" si="10"/>
        <v>nincs</v>
      </c>
      <c r="H54" s="313" t="s">
        <v>84</v>
      </c>
      <c r="I54" s="282" t="str">
        <f t="shared" si="11"/>
        <v>nincs</v>
      </c>
      <c r="J54" s="313" t="s">
        <v>84</v>
      </c>
      <c r="K54" s="282" t="str">
        <f t="shared" si="12"/>
        <v>nincs</v>
      </c>
      <c r="L54" s="313" t="s">
        <v>84</v>
      </c>
      <c r="M54" s="282" t="str">
        <f t="shared" si="13"/>
        <v>nincs</v>
      </c>
      <c r="N54" s="313" t="s">
        <v>84</v>
      </c>
      <c r="O54" s="282" t="str">
        <f t="shared" si="14"/>
        <v>nincs</v>
      </c>
      <c r="P54" s="313" t="s">
        <v>84</v>
      </c>
      <c r="Q54" s="282" t="str">
        <f t="shared" si="15"/>
        <v>nincs</v>
      </c>
      <c r="R54" s="313" t="s">
        <v>84</v>
      </c>
      <c r="S54" s="282" t="str">
        <f t="shared" si="16"/>
        <v>nincs</v>
      </c>
      <c r="T54" s="313" t="s">
        <v>84</v>
      </c>
      <c r="U54" s="282" t="str">
        <f t="shared" si="17"/>
        <v>nincs</v>
      </c>
    </row>
    <row r="55" spans="1:21" x14ac:dyDescent="0.35">
      <c r="A55">
        <v>48</v>
      </c>
      <c r="B55" s="71" t="s">
        <v>30</v>
      </c>
      <c r="C55">
        <v>23</v>
      </c>
      <c r="D55" s="313" t="s">
        <v>84</v>
      </c>
      <c r="E55" s="282" t="str">
        <f t="shared" si="9"/>
        <v>nincs</v>
      </c>
      <c r="F55" s="313" t="s">
        <v>84</v>
      </c>
      <c r="G55" s="282" t="str">
        <f t="shared" si="10"/>
        <v>nincs</v>
      </c>
      <c r="H55" s="339">
        <v>564100</v>
      </c>
      <c r="I55" s="282">
        <f t="shared" si="11"/>
        <v>444173</v>
      </c>
      <c r="J55" s="339">
        <v>623300</v>
      </c>
      <c r="K55" s="282">
        <f t="shared" si="12"/>
        <v>490787</v>
      </c>
      <c r="L55" s="339">
        <v>622700</v>
      </c>
      <c r="M55" s="282">
        <f t="shared" si="13"/>
        <v>490315</v>
      </c>
      <c r="N55" s="339">
        <v>681900</v>
      </c>
      <c r="O55" s="282">
        <f t="shared" si="14"/>
        <v>536929</v>
      </c>
      <c r="P55" s="313" t="s">
        <v>84</v>
      </c>
      <c r="Q55" s="282" t="str">
        <f t="shared" si="15"/>
        <v>nincs</v>
      </c>
      <c r="R55" s="339">
        <v>591400</v>
      </c>
      <c r="S55" s="282">
        <f t="shared" si="16"/>
        <v>465669</v>
      </c>
      <c r="T55" s="339">
        <v>650000</v>
      </c>
      <c r="U55" s="282">
        <f t="shared" si="17"/>
        <v>511811</v>
      </c>
    </row>
    <row r="56" spans="1:21" x14ac:dyDescent="0.35">
      <c r="A56">
        <v>49</v>
      </c>
      <c r="B56" s="71" t="s">
        <v>385</v>
      </c>
      <c r="C56">
        <v>22</v>
      </c>
      <c r="D56" s="313">
        <v>542500</v>
      </c>
      <c r="E56" s="282">
        <f t="shared" si="9"/>
        <v>427165</v>
      </c>
      <c r="F56" s="313">
        <v>603400</v>
      </c>
      <c r="G56" s="282">
        <f t="shared" si="10"/>
        <v>475118</v>
      </c>
      <c r="H56" s="313">
        <v>574900</v>
      </c>
      <c r="I56" s="282">
        <f t="shared" si="11"/>
        <v>452677</v>
      </c>
      <c r="J56" s="313">
        <v>635800</v>
      </c>
      <c r="K56" s="282">
        <f t="shared" si="12"/>
        <v>500630</v>
      </c>
      <c r="L56" s="313">
        <v>633500</v>
      </c>
      <c r="M56" s="282">
        <f t="shared" si="13"/>
        <v>498819</v>
      </c>
      <c r="N56" s="313">
        <v>694300</v>
      </c>
      <c r="O56" s="282">
        <f t="shared" si="14"/>
        <v>546693</v>
      </c>
      <c r="P56" s="313">
        <v>569800</v>
      </c>
      <c r="Q56" s="282">
        <f t="shared" si="15"/>
        <v>448661</v>
      </c>
      <c r="R56" s="313">
        <v>602200</v>
      </c>
      <c r="S56" s="282">
        <f t="shared" si="16"/>
        <v>474173</v>
      </c>
      <c r="T56" s="313">
        <v>660800</v>
      </c>
      <c r="U56" s="282">
        <f t="shared" si="17"/>
        <v>520315</v>
      </c>
    </row>
    <row r="57" spans="1:21" x14ac:dyDescent="0.35">
      <c r="A57">
        <v>50</v>
      </c>
      <c r="B57" s="71" t="s">
        <v>386</v>
      </c>
      <c r="C57">
        <v>21</v>
      </c>
      <c r="D57" s="313">
        <v>563500</v>
      </c>
      <c r="E57" s="282">
        <f t="shared" si="9"/>
        <v>443701</v>
      </c>
      <c r="F57" s="313">
        <v>624800</v>
      </c>
      <c r="G57" s="282">
        <f t="shared" si="10"/>
        <v>491969</v>
      </c>
      <c r="H57" s="313">
        <v>595900</v>
      </c>
      <c r="I57" s="282">
        <f t="shared" si="11"/>
        <v>469213</v>
      </c>
      <c r="J57" s="313">
        <v>657200</v>
      </c>
      <c r="K57" s="282">
        <f t="shared" si="12"/>
        <v>517480</v>
      </c>
      <c r="L57" s="313">
        <v>654400</v>
      </c>
      <c r="M57" s="282">
        <f t="shared" si="13"/>
        <v>515276</v>
      </c>
      <c r="N57" s="313">
        <v>715800</v>
      </c>
      <c r="O57" s="282">
        <f t="shared" si="14"/>
        <v>563622</v>
      </c>
      <c r="P57" s="313">
        <v>590800</v>
      </c>
      <c r="Q57" s="282">
        <f t="shared" si="15"/>
        <v>465197</v>
      </c>
      <c r="R57" s="313">
        <v>623200</v>
      </c>
      <c r="S57" s="282">
        <f t="shared" si="16"/>
        <v>490709</v>
      </c>
      <c r="T57" s="313">
        <v>681700</v>
      </c>
      <c r="U57" s="282">
        <f t="shared" si="17"/>
        <v>536772</v>
      </c>
    </row>
    <row r="58" spans="1:21" x14ac:dyDescent="0.35">
      <c r="A58">
        <v>51</v>
      </c>
      <c r="B58" s="71" t="s">
        <v>31</v>
      </c>
      <c r="D58" s="313" t="s">
        <v>84</v>
      </c>
      <c r="E58" s="282" t="str">
        <f t="shared" si="9"/>
        <v>nincs</v>
      </c>
      <c r="F58" s="313" t="s">
        <v>84</v>
      </c>
      <c r="G58" s="282" t="str">
        <f t="shared" si="10"/>
        <v>nincs</v>
      </c>
      <c r="H58" s="313" t="s">
        <v>84</v>
      </c>
      <c r="I58" s="282" t="str">
        <f t="shared" si="11"/>
        <v>nincs</v>
      </c>
      <c r="J58" s="313" t="s">
        <v>84</v>
      </c>
      <c r="K58" s="282" t="str">
        <f t="shared" si="12"/>
        <v>nincs</v>
      </c>
      <c r="L58" s="313" t="s">
        <v>84</v>
      </c>
      <c r="M58" s="282" t="str">
        <f t="shared" si="13"/>
        <v>nincs</v>
      </c>
      <c r="N58" s="313" t="s">
        <v>84</v>
      </c>
      <c r="O58" s="282" t="str">
        <f t="shared" si="14"/>
        <v>nincs</v>
      </c>
      <c r="P58" s="313" t="s">
        <v>84</v>
      </c>
      <c r="Q58" s="282" t="str">
        <f t="shared" si="15"/>
        <v>nincs</v>
      </c>
      <c r="R58" s="313" t="s">
        <v>84</v>
      </c>
      <c r="S58" s="282" t="str">
        <f t="shared" si="16"/>
        <v>nincs</v>
      </c>
      <c r="T58" s="313" t="s">
        <v>84</v>
      </c>
      <c r="U58" s="282" t="str">
        <f t="shared" si="17"/>
        <v>nincs</v>
      </c>
    </row>
    <row r="59" spans="1:21" x14ac:dyDescent="0.35">
      <c r="A59">
        <v>52</v>
      </c>
      <c r="B59" s="71" t="s">
        <v>32</v>
      </c>
      <c r="D59" s="313" t="s">
        <v>84</v>
      </c>
      <c r="E59" s="282" t="str">
        <f t="shared" si="9"/>
        <v>nincs</v>
      </c>
      <c r="F59" s="313" t="s">
        <v>84</v>
      </c>
      <c r="G59" s="282" t="str">
        <f t="shared" si="10"/>
        <v>nincs</v>
      </c>
      <c r="H59" s="313" t="s">
        <v>84</v>
      </c>
      <c r="I59" s="282" t="str">
        <f t="shared" si="11"/>
        <v>nincs</v>
      </c>
      <c r="J59" s="313" t="s">
        <v>84</v>
      </c>
      <c r="K59" s="282" t="str">
        <f t="shared" si="12"/>
        <v>nincs</v>
      </c>
      <c r="L59" s="313" t="s">
        <v>84</v>
      </c>
      <c r="M59" s="282" t="str">
        <f t="shared" si="13"/>
        <v>nincs</v>
      </c>
      <c r="N59" s="313" t="s">
        <v>84</v>
      </c>
      <c r="O59" s="282" t="str">
        <f t="shared" si="14"/>
        <v>nincs</v>
      </c>
      <c r="P59" s="313" t="s">
        <v>84</v>
      </c>
      <c r="Q59" s="282" t="str">
        <f t="shared" si="15"/>
        <v>nincs</v>
      </c>
      <c r="R59" s="313" t="s">
        <v>84</v>
      </c>
      <c r="S59" s="282" t="str">
        <f t="shared" si="16"/>
        <v>nincs</v>
      </c>
      <c r="T59" s="313" t="s">
        <v>84</v>
      </c>
      <c r="U59" s="282" t="str">
        <f t="shared" si="17"/>
        <v>nincs</v>
      </c>
    </row>
    <row r="60" spans="1:21" x14ac:dyDescent="0.35">
      <c r="A60">
        <v>53</v>
      </c>
      <c r="B60" s="71" t="s">
        <v>33</v>
      </c>
      <c r="D60" s="313" t="s">
        <v>84</v>
      </c>
      <c r="E60" s="282" t="str">
        <f t="shared" si="9"/>
        <v>nincs</v>
      </c>
      <c r="F60" s="313" t="s">
        <v>84</v>
      </c>
      <c r="G60" s="282" t="str">
        <f t="shared" si="10"/>
        <v>nincs</v>
      </c>
      <c r="H60" s="313" t="s">
        <v>84</v>
      </c>
      <c r="I60" s="282" t="str">
        <f t="shared" si="11"/>
        <v>nincs</v>
      </c>
      <c r="J60" s="313" t="s">
        <v>84</v>
      </c>
      <c r="K60" s="282" t="str">
        <f t="shared" si="12"/>
        <v>nincs</v>
      </c>
      <c r="L60" s="313" t="s">
        <v>84</v>
      </c>
      <c r="M60" s="282" t="str">
        <f t="shared" si="13"/>
        <v>nincs</v>
      </c>
      <c r="N60" s="313" t="s">
        <v>84</v>
      </c>
      <c r="O60" s="282" t="str">
        <f t="shared" si="14"/>
        <v>nincs</v>
      </c>
      <c r="P60" s="313" t="s">
        <v>84</v>
      </c>
      <c r="Q60" s="282" t="str">
        <f t="shared" si="15"/>
        <v>nincs</v>
      </c>
      <c r="R60" s="313" t="s">
        <v>84</v>
      </c>
      <c r="S60" s="282" t="str">
        <f t="shared" si="16"/>
        <v>nincs</v>
      </c>
      <c r="T60" s="313" t="s">
        <v>84</v>
      </c>
      <c r="U60" s="282" t="str">
        <f t="shared" si="17"/>
        <v>nincs</v>
      </c>
    </row>
    <row r="61" spans="1:21" x14ac:dyDescent="0.35">
      <c r="A61">
        <v>54</v>
      </c>
      <c r="B61" s="71" t="s">
        <v>34</v>
      </c>
      <c r="D61" s="313" t="s">
        <v>84</v>
      </c>
      <c r="E61" s="282" t="str">
        <f t="shared" si="9"/>
        <v>nincs</v>
      </c>
      <c r="F61" s="313" t="s">
        <v>84</v>
      </c>
      <c r="G61" s="282" t="str">
        <f t="shared" si="10"/>
        <v>nincs</v>
      </c>
      <c r="H61" s="313" t="s">
        <v>84</v>
      </c>
      <c r="I61" s="282" t="str">
        <f t="shared" si="11"/>
        <v>nincs</v>
      </c>
      <c r="J61" s="313" t="s">
        <v>84</v>
      </c>
      <c r="K61" s="282" t="str">
        <f t="shared" si="12"/>
        <v>nincs</v>
      </c>
      <c r="L61" s="313" t="s">
        <v>84</v>
      </c>
      <c r="M61" s="282" t="str">
        <f t="shared" si="13"/>
        <v>nincs</v>
      </c>
      <c r="N61" s="313" t="s">
        <v>84</v>
      </c>
      <c r="O61" s="282" t="str">
        <f t="shared" si="14"/>
        <v>nincs</v>
      </c>
      <c r="P61" s="313" t="s">
        <v>84</v>
      </c>
      <c r="Q61" s="282" t="str">
        <f t="shared" si="15"/>
        <v>nincs</v>
      </c>
      <c r="R61" s="313" t="s">
        <v>84</v>
      </c>
      <c r="S61" s="282" t="str">
        <f t="shared" si="16"/>
        <v>nincs</v>
      </c>
      <c r="T61" s="313" t="s">
        <v>84</v>
      </c>
      <c r="U61" s="282" t="str">
        <f t="shared" si="17"/>
        <v>nincs</v>
      </c>
    </row>
    <row r="62" spans="1:21" x14ac:dyDescent="0.35">
      <c r="A62">
        <v>55</v>
      </c>
      <c r="B62" s="71" t="s">
        <v>35</v>
      </c>
      <c r="D62" s="313" t="s">
        <v>84</v>
      </c>
      <c r="E62" s="282" t="str">
        <f t="shared" si="9"/>
        <v>nincs</v>
      </c>
      <c r="F62" s="313" t="s">
        <v>84</v>
      </c>
      <c r="G62" s="282" t="str">
        <f t="shared" si="10"/>
        <v>nincs</v>
      </c>
      <c r="H62" s="313" t="s">
        <v>84</v>
      </c>
      <c r="I62" s="282" t="str">
        <f t="shared" si="11"/>
        <v>nincs</v>
      </c>
      <c r="J62" s="313" t="s">
        <v>84</v>
      </c>
      <c r="K62" s="282" t="str">
        <f t="shared" si="12"/>
        <v>nincs</v>
      </c>
      <c r="L62" s="313" t="s">
        <v>84</v>
      </c>
      <c r="M62" s="282" t="str">
        <f t="shared" si="13"/>
        <v>nincs</v>
      </c>
      <c r="N62" s="313" t="s">
        <v>84</v>
      </c>
      <c r="O62" s="282" t="str">
        <f t="shared" si="14"/>
        <v>nincs</v>
      </c>
      <c r="P62" s="313" t="s">
        <v>84</v>
      </c>
      <c r="Q62" s="282" t="str">
        <f t="shared" si="15"/>
        <v>nincs</v>
      </c>
      <c r="R62" s="313" t="s">
        <v>84</v>
      </c>
      <c r="S62" s="282" t="str">
        <f t="shared" si="16"/>
        <v>nincs</v>
      </c>
      <c r="T62" s="313" t="s">
        <v>84</v>
      </c>
      <c r="U62" s="282" t="str">
        <f t="shared" si="17"/>
        <v>nincs</v>
      </c>
    </row>
    <row r="63" spans="1:21" x14ac:dyDescent="0.35">
      <c r="A63">
        <v>56</v>
      </c>
      <c r="B63" s="71" t="s">
        <v>36</v>
      </c>
      <c r="D63" s="313" t="s">
        <v>84</v>
      </c>
      <c r="E63" s="282" t="str">
        <f t="shared" si="9"/>
        <v>nincs</v>
      </c>
      <c r="F63" s="313" t="s">
        <v>84</v>
      </c>
      <c r="G63" s="282" t="str">
        <f t="shared" si="10"/>
        <v>nincs</v>
      </c>
      <c r="H63" s="313" t="s">
        <v>84</v>
      </c>
      <c r="I63" s="282" t="str">
        <f t="shared" si="11"/>
        <v>nincs</v>
      </c>
      <c r="J63" s="313" t="s">
        <v>84</v>
      </c>
      <c r="K63" s="282" t="str">
        <f t="shared" si="12"/>
        <v>nincs</v>
      </c>
      <c r="L63" s="313" t="s">
        <v>84</v>
      </c>
      <c r="M63" s="282" t="str">
        <f t="shared" si="13"/>
        <v>nincs</v>
      </c>
      <c r="N63" s="313" t="s">
        <v>84</v>
      </c>
      <c r="O63" s="282" t="str">
        <f t="shared" si="14"/>
        <v>nincs</v>
      </c>
      <c r="P63" s="313" t="s">
        <v>84</v>
      </c>
      <c r="Q63" s="282" t="str">
        <f t="shared" si="15"/>
        <v>nincs</v>
      </c>
      <c r="R63" s="313" t="s">
        <v>84</v>
      </c>
      <c r="S63" s="282" t="str">
        <f t="shared" si="16"/>
        <v>nincs</v>
      </c>
      <c r="T63" s="313" t="s">
        <v>84</v>
      </c>
      <c r="U63" s="282" t="str">
        <f t="shared" si="17"/>
        <v>nincs</v>
      </c>
    </row>
    <row r="64" spans="1:21" x14ac:dyDescent="0.35">
      <c r="A64">
        <v>57</v>
      </c>
      <c r="B64" s="71" t="s">
        <v>37</v>
      </c>
      <c r="D64" s="313" t="s">
        <v>84</v>
      </c>
      <c r="E64" s="282" t="str">
        <f t="shared" si="9"/>
        <v>nincs</v>
      </c>
      <c r="F64" s="313" t="s">
        <v>84</v>
      </c>
      <c r="G64" s="282" t="str">
        <f t="shared" si="10"/>
        <v>nincs</v>
      </c>
      <c r="H64" s="313" t="s">
        <v>84</v>
      </c>
      <c r="I64" s="282" t="str">
        <f t="shared" si="11"/>
        <v>nincs</v>
      </c>
      <c r="J64" s="313" t="s">
        <v>84</v>
      </c>
      <c r="K64" s="282" t="str">
        <f t="shared" si="12"/>
        <v>nincs</v>
      </c>
      <c r="L64" s="313" t="s">
        <v>84</v>
      </c>
      <c r="M64" s="282" t="str">
        <f t="shared" si="13"/>
        <v>nincs</v>
      </c>
      <c r="N64" s="313" t="s">
        <v>84</v>
      </c>
      <c r="O64" s="282" t="str">
        <f t="shared" si="14"/>
        <v>nincs</v>
      </c>
      <c r="P64" s="313" t="s">
        <v>84</v>
      </c>
      <c r="Q64" s="282" t="str">
        <f t="shared" si="15"/>
        <v>nincs</v>
      </c>
      <c r="R64" s="313" t="s">
        <v>84</v>
      </c>
      <c r="S64" s="282" t="str">
        <f t="shared" si="16"/>
        <v>nincs</v>
      </c>
      <c r="T64" s="313" t="s">
        <v>84</v>
      </c>
      <c r="U64" s="282" t="str">
        <f t="shared" si="17"/>
        <v>nincs</v>
      </c>
    </row>
    <row r="65" spans="1:21" x14ac:dyDescent="0.35">
      <c r="A65">
        <v>58</v>
      </c>
      <c r="B65" s="71" t="s">
        <v>38</v>
      </c>
      <c r="D65" s="313" t="s">
        <v>84</v>
      </c>
      <c r="E65" s="282" t="str">
        <f t="shared" si="9"/>
        <v>nincs</v>
      </c>
      <c r="F65" s="313" t="s">
        <v>84</v>
      </c>
      <c r="G65" s="282" t="str">
        <f t="shared" si="10"/>
        <v>nincs</v>
      </c>
      <c r="H65" s="313" t="s">
        <v>84</v>
      </c>
      <c r="I65" s="282" t="str">
        <f t="shared" si="11"/>
        <v>nincs</v>
      </c>
      <c r="J65" s="313" t="s">
        <v>84</v>
      </c>
      <c r="K65" s="282" t="str">
        <f t="shared" si="12"/>
        <v>nincs</v>
      </c>
      <c r="L65" s="313" t="s">
        <v>84</v>
      </c>
      <c r="M65" s="282" t="str">
        <f t="shared" si="13"/>
        <v>nincs</v>
      </c>
      <c r="N65" s="313" t="s">
        <v>84</v>
      </c>
      <c r="O65" s="282" t="str">
        <f t="shared" si="14"/>
        <v>nincs</v>
      </c>
      <c r="P65" s="313" t="s">
        <v>84</v>
      </c>
      <c r="Q65" s="282" t="str">
        <f t="shared" si="15"/>
        <v>nincs</v>
      </c>
      <c r="R65" s="313" t="s">
        <v>84</v>
      </c>
      <c r="S65" s="282" t="str">
        <f t="shared" si="16"/>
        <v>nincs</v>
      </c>
      <c r="T65" s="313" t="s">
        <v>84</v>
      </c>
      <c r="U65" s="282" t="str">
        <f t="shared" si="17"/>
        <v>nincs</v>
      </c>
    </row>
    <row r="66" spans="1:21" x14ac:dyDescent="0.35">
      <c r="A66">
        <v>59</v>
      </c>
      <c r="B66" s="71" t="s">
        <v>39</v>
      </c>
      <c r="D66" s="313" t="s">
        <v>84</v>
      </c>
      <c r="E66" s="282" t="str">
        <f t="shared" si="9"/>
        <v>nincs</v>
      </c>
      <c r="F66" s="313" t="s">
        <v>84</v>
      </c>
      <c r="G66" s="282" t="str">
        <f t="shared" si="10"/>
        <v>nincs</v>
      </c>
      <c r="H66" s="313" t="s">
        <v>84</v>
      </c>
      <c r="I66" s="282" t="str">
        <f t="shared" si="11"/>
        <v>nincs</v>
      </c>
      <c r="J66" s="313" t="s">
        <v>84</v>
      </c>
      <c r="K66" s="282" t="str">
        <f t="shared" si="12"/>
        <v>nincs</v>
      </c>
      <c r="L66" s="313" t="s">
        <v>84</v>
      </c>
      <c r="M66" s="282" t="str">
        <f t="shared" si="13"/>
        <v>nincs</v>
      </c>
      <c r="N66" s="313" t="s">
        <v>84</v>
      </c>
      <c r="O66" s="282" t="str">
        <f t="shared" si="14"/>
        <v>nincs</v>
      </c>
      <c r="P66" s="313" t="s">
        <v>84</v>
      </c>
      <c r="Q66" s="282" t="str">
        <f t="shared" si="15"/>
        <v>nincs</v>
      </c>
      <c r="R66" s="313" t="s">
        <v>84</v>
      </c>
      <c r="S66" s="282" t="str">
        <f t="shared" si="16"/>
        <v>nincs</v>
      </c>
      <c r="T66" s="313" t="s">
        <v>84</v>
      </c>
      <c r="U66" s="282" t="str">
        <f t="shared" si="17"/>
        <v>nincs</v>
      </c>
    </row>
    <row r="67" spans="1:21" x14ac:dyDescent="0.35">
      <c r="A67">
        <v>60</v>
      </c>
      <c r="B67" s="71" t="s">
        <v>40</v>
      </c>
      <c r="C67">
        <v>27</v>
      </c>
      <c r="D67" s="313" t="s">
        <v>84</v>
      </c>
      <c r="E67" s="282" t="str">
        <f t="shared" si="9"/>
        <v>nincs</v>
      </c>
      <c r="F67" s="313" t="s">
        <v>84</v>
      </c>
      <c r="G67" s="282" t="str">
        <f t="shared" si="10"/>
        <v>nincs</v>
      </c>
      <c r="H67" s="339">
        <v>626900</v>
      </c>
      <c r="I67" s="282">
        <f t="shared" si="11"/>
        <v>493622</v>
      </c>
      <c r="J67" s="339">
        <v>740700</v>
      </c>
      <c r="K67" s="282">
        <f t="shared" si="12"/>
        <v>583228</v>
      </c>
      <c r="L67" s="339">
        <v>685400</v>
      </c>
      <c r="M67" s="282">
        <f t="shared" si="13"/>
        <v>539685</v>
      </c>
      <c r="N67" s="339">
        <v>799200</v>
      </c>
      <c r="O67" s="282">
        <f t="shared" si="14"/>
        <v>629291</v>
      </c>
      <c r="P67" s="313" t="s">
        <v>84</v>
      </c>
      <c r="Q67" s="282" t="str">
        <f t="shared" si="15"/>
        <v>nincs</v>
      </c>
      <c r="R67" s="339">
        <v>654200</v>
      </c>
      <c r="S67" s="282">
        <f t="shared" si="16"/>
        <v>515118</v>
      </c>
      <c r="T67" s="339">
        <v>712700</v>
      </c>
      <c r="U67" s="282">
        <f t="shared" si="17"/>
        <v>561181</v>
      </c>
    </row>
    <row r="68" spans="1:21" x14ac:dyDescent="0.35">
      <c r="A68">
        <v>61</v>
      </c>
      <c r="B68" s="71" t="s">
        <v>467</v>
      </c>
      <c r="C68">
        <v>26</v>
      </c>
      <c r="D68" s="313" t="s">
        <v>84</v>
      </c>
      <c r="E68" s="282" t="str">
        <f t="shared" si="9"/>
        <v>nincs</v>
      </c>
      <c r="F68" s="313" t="s">
        <v>84</v>
      </c>
      <c r="G68" s="282" t="str">
        <f t="shared" si="10"/>
        <v>nincs</v>
      </c>
      <c r="H68" s="313">
        <v>639100</v>
      </c>
      <c r="I68" s="282">
        <f t="shared" si="11"/>
        <v>503228</v>
      </c>
      <c r="J68" s="313">
        <v>755500</v>
      </c>
      <c r="K68" s="282">
        <f t="shared" si="12"/>
        <v>594882</v>
      </c>
      <c r="L68" s="313">
        <v>697600</v>
      </c>
      <c r="M68" s="282">
        <f t="shared" si="13"/>
        <v>549291</v>
      </c>
      <c r="N68" s="313">
        <v>814100</v>
      </c>
      <c r="O68" s="282">
        <f t="shared" si="14"/>
        <v>641024</v>
      </c>
      <c r="P68" s="313" t="s">
        <v>84</v>
      </c>
      <c r="Q68" s="282" t="str">
        <f t="shared" si="15"/>
        <v>nincs</v>
      </c>
      <c r="R68" s="313">
        <v>666400</v>
      </c>
      <c r="S68" s="282">
        <f t="shared" si="16"/>
        <v>524724</v>
      </c>
      <c r="T68" s="313">
        <v>724900</v>
      </c>
      <c r="U68" s="282">
        <f t="shared" si="17"/>
        <v>570787</v>
      </c>
    </row>
    <row r="69" spans="1:21" x14ac:dyDescent="0.35">
      <c r="A69">
        <v>62</v>
      </c>
      <c r="B69" s="71" t="s">
        <v>468</v>
      </c>
      <c r="C69">
        <v>25</v>
      </c>
      <c r="D69" s="313" t="s">
        <v>84</v>
      </c>
      <c r="E69" s="282" t="str">
        <f t="shared" si="9"/>
        <v>nincs</v>
      </c>
      <c r="F69" s="313" t="s">
        <v>84</v>
      </c>
      <c r="G69" s="282" t="str">
        <f t="shared" si="10"/>
        <v>nincs</v>
      </c>
      <c r="H69" s="313">
        <v>648000</v>
      </c>
      <c r="I69" s="282">
        <f t="shared" si="11"/>
        <v>510236</v>
      </c>
      <c r="J69" s="313">
        <v>765600</v>
      </c>
      <c r="K69" s="282">
        <f t="shared" si="12"/>
        <v>602835</v>
      </c>
      <c r="L69" s="313">
        <v>706500</v>
      </c>
      <c r="M69" s="282">
        <f t="shared" si="13"/>
        <v>556299</v>
      </c>
      <c r="N69" s="313">
        <v>824100</v>
      </c>
      <c r="O69" s="282">
        <f t="shared" si="14"/>
        <v>648898</v>
      </c>
      <c r="P69" s="313" t="s">
        <v>84</v>
      </c>
      <c r="Q69" s="282" t="str">
        <f t="shared" si="15"/>
        <v>nincs</v>
      </c>
      <c r="R69" s="313">
        <v>675300</v>
      </c>
      <c r="S69" s="282">
        <f t="shared" si="16"/>
        <v>531732</v>
      </c>
      <c r="T69" s="313">
        <v>733800</v>
      </c>
      <c r="U69" s="282">
        <f t="shared" si="17"/>
        <v>577795</v>
      </c>
    </row>
    <row r="70" spans="1:21" x14ac:dyDescent="0.35">
      <c r="A70">
        <v>63</v>
      </c>
      <c r="B70" s="71" t="s">
        <v>394</v>
      </c>
      <c r="D70" s="337" t="s">
        <v>84</v>
      </c>
      <c r="E70" s="338" t="str">
        <f t="shared" si="9"/>
        <v>nincs</v>
      </c>
      <c r="F70" s="337" t="s">
        <v>84</v>
      </c>
      <c r="G70" s="338" t="str">
        <f t="shared" si="10"/>
        <v>nincs</v>
      </c>
      <c r="H70" s="337" t="s">
        <v>84</v>
      </c>
      <c r="I70" s="338" t="str">
        <f t="shared" si="11"/>
        <v>nincs</v>
      </c>
      <c r="J70" s="337" t="s">
        <v>84</v>
      </c>
      <c r="K70" s="338" t="str">
        <f t="shared" si="12"/>
        <v>nincs</v>
      </c>
      <c r="L70" s="337" t="s">
        <v>84</v>
      </c>
      <c r="M70" s="338" t="str">
        <f t="shared" si="13"/>
        <v>nincs</v>
      </c>
      <c r="N70" s="337" t="s">
        <v>84</v>
      </c>
      <c r="O70" s="338" t="str">
        <f t="shared" si="14"/>
        <v>nincs</v>
      </c>
      <c r="P70" s="337" t="s">
        <v>84</v>
      </c>
      <c r="Q70" s="338" t="str">
        <f t="shared" si="15"/>
        <v>nincs</v>
      </c>
      <c r="R70" s="337" t="s">
        <v>84</v>
      </c>
      <c r="S70" s="338" t="str">
        <f t="shared" si="16"/>
        <v>nincs</v>
      </c>
      <c r="T70" s="337" t="s">
        <v>84</v>
      </c>
      <c r="U70" s="338" t="str">
        <f t="shared" si="17"/>
        <v>nincs</v>
      </c>
    </row>
    <row r="71" spans="1:21" x14ac:dyDescent="0.35">
      <c r="A71">
        <v>64</v>
      </c>
      <c r="B71" s="71" t="s">
        <v>466</v>
      </c>
      <c r="C71">
        <v>24</v>
      </c>
      <c r="D71" s="337" t="s">
        <v>84</v>
      </c>
      <c r="E71" s="338" t="str">
        <f t="shared" si="9"/>
        <v>nincs</v>
      </c>
      <c r="F71" s="337" t="s">
        <v>84</v>
      </c>
      <c r="G71" s="338" t="str">
        <f t="shared" si="10"/>
        <v>nincs</v>
      </c>
      <c r="H71" s="337" t="s">
        <v>84</v>
      </c>
      <c r="I71" s="338" t="str">
        <f t="shared" si="11"/>
        <v>nincs</v>
      </c>
      <c r="J71" s="337" t="s">
        <v>84</v>
      </c>
      <c r="K71" s="338" t="str">
        <f t="shared" si="12"/>
        <v>nincs</v>
      </c>
      <c r="L71" s="337">
        <v>779900</v>
      </c>
      <c r="M71" s="338">
        <f t="shared" si="13"/>
        <v>614094</v>
      </c>
      <c r="N71" s="337">
        <v>914800</v>
      </c>
      <c r="O71" s="338">
        <f t="shared" si="14"/>
        <v>720315</v>
      </c>
      <c r="P71" s="337" t="s">
        <v>84</v>
      </c>
      <c r="Q71" s="338" t="str">
        <f t="shared" si="15"/>
        <v>nincs</v>
      </c>
      <c r="R71" s="337" t="s">
        <v>84</v>
      </c>
      <c r="S71" s="338" t="str">
        <f t="shared" si="16"/>
        <v>nincs</v>
      </c>
      <c r="T71" s="337">
        <v>807200</v>
      </c>
      <c r="U71" s="338">
        <f t="shared" si="17"/>
        <v>635591</v>
      </c>
    </row>
    <row r="72" spans="1:21" ht="13.15" thickBot="1" x14ac:dyDescent="0.4">
      <c r="A72">
        <v>65</v>
      </c>
      <c r="B72" s="71" t="s">
        <v>41</v>
      </c>
      <c r="D72" s="313" t="s">
        <v>84</v>
      </c>
      <c r="E72" s="282" t="str">
        <f t="shared" ref="E72:E79" si="18">IF(D72="nincs","nincs",ROUND(D72/1.27,0))</f>
        <v>nincs</v>
      </c>
      <c r="F72" s="313" t="s">
        <v>84</v>
      </c>
      <c r="G72" s="282" t="str">
        <f t="shared" ref="G72:G79" si="19">IF(F72="nincs","nincs",ROUND(F72/1.27,0))</f>
        <v>nincs</v>
      </c>
      <c r="H72" s="313" t="s">
        <v>84</v>
      </c>
      <c r="I72" s="282" t="str">
        <f t="shared" ref="I72:I79" si="20">IF(H72="nincs","nincs",ROUND(H72/1.27,0))</f>
        <v>nincs</v>
      </c>
      <c r="J72" s="313" t="s">
        <v>84</v>
      </c>
      <c r="K72" s="282" t="str">
        <f t="shared" ref="K72:K79" si="21">IF(J72="nincs","nincs",ROUND(J72/1.27,0))</f>
        <v>nincs</v>
      </c>
      <c r="L72" s="313" t="s">
        <v>84</v>
      </c>
      <c r="M72" s="282" t="str">
        <f t="shared" ref="M72:M80" si="22">IF(L72="nincs","nincs",ROUND(L72/1.27,0))</f>
        <v>nincs</v>
      </c>
      <c r="N72" s="313" t="s">
        <v>84</v>
      </c>
      <c r="O72" s="282" t="str">
        <f t="shared" ref="O72:O80" si="23">IF(N72="nincs","nincs",ROUND(N72/1.27,0))</f>
        <v>nincs</v>
      </c>
      <c r="P72" s="313" t="s">
        <v>84</v>
      </c>
      <c r="Q72" s="282" t="str">
        <f t="shared" ref="Q72:Q79" si="24">IF(P72="nincs","nincs",ROUND(P72/1.27,0))</f>
        <v>nincs</v>
      </c>
      <c r="R72" s="313" t="s">
        <v>84</v>
      </c>
      <c r="S72" s="282" t="str">
        <f t="shared" ref="S72:S79" si="25">IF(R72="nincs","nincs",ROUND(R72/1.27,0))</f>
        <v>nincs</v>
      </c>
      <c r="T72" s="313" t="s">
        <v>84</v>
      </c>
      <c r="U72" s="282" t="str">
        <f t="shared" ref="U72:U80" si="26">IF(T72="nincs","nincs",ROUND(T72/1.27,0))</f>
        <v>nincs</v>
      </c>
    </row>
    <row r="73" spans="1:21" ht="13.15" thickBot="1" x14ac:dyDescent="0.4">
      <c r="A73">
        <v>66</v>
      </c>
      <c r="B73" s="71" t="s">
        <v>42</v>
      </c>
      <c r="D73" s="314" t="s">
        <v>84</v>
      </c>
      <c r="E73" s="283" t="str">
        <f t="shared" si="18"/>
        <v>nincs</v>
      </c>
      <c r="F73" s="314" t="s">
        <v>84</v>
      </c>
      <c r="G73" s="283" t="str">
        <f t="shared" si="19"/>
        <v>nincs</v>
      </c>
      <c r="H73" s="314" t="s">
        <v>84</v>
      </c>
      <c r="I73" s="283" t="str">
        <f t="shared" si="20"/>
        <v>nincs</v>
      </c>
      <c r="J73" s="314" t="s">
        <v>84</v>
      </c>
      <c r="K73" s="283" t="str">
        <f t="shared" si="21"/>
        <v>nincs</v>
      </c>
      <c r="L73" s="314" t="s">
        <v>84</v>
      </c>
      <c r="M73" s="283" t="str">
        <f t="shared" si="22"/>
        <v>nincs</v>
      </c>
      <c r="N73" s="314" t="s">
        <v>84</v>
      </c>
      <c r="O73" s="283" t="str">
        <f t="shared" si="23"/>
        <v>nincs</v>
      </c>
      <c r="P73" s="314" t="s">
        <v>84</v>
      </c>
      <c r="Q73" s="283" t="str">
        <f t="shared" si="24"/>
        <v>nincs</v>
      </c>
      <c r="R73" s="314" t="s">
        <v>84</v>
      </c>
      <c r="S73" s="283" t="str">
        <f t="shared" si="25"/>
        <v>nincs</v>
      </c>
      <c r="T73" s="314" t="s">
        <v>84</v>
      </c>
      <c r="U73" s="283" t="str">
        <f t="shared" si="26"/>
        <v>nincs</v>
      </c>
    </row>
    <row r="74" spans="1:21" x14ac:dyDescent="0.35">
      <c r="A74">
        <v>67</v>
      </c>
      <c r="B74" s="71" t="s">
        <v>43</v>
      </c>
      <c r="D74" s="313" t="s">
        <v>84</v>
      </c>
      <c r="E74" s="282" t="str">
        <f t="shared" si="18"/>
        <v>nincs</v>
      </c>
      <c r="F74" s="313" t="s">
        <v>84</v>
      </c>
      <c r="G74" s="282" t="str">
        <f t="shared" si="19"/>
        <v>nincs</v>
      </c>
      <c r="H74" s="313" t="s">
        <v>84</v>
      </c>
      <c r="I74" s="282" t="str">
        <f t="shared" si="20"/>
        <v>nincs</v>
      </c>
      <c r="J74" s="313" t="s">
        <v>84</v>
      </c>
      <c r="K74" s="282" t="str">
        <f t="shared" si="21"/>
        <v>nincs</v>
      </c>
      <c r="L74" s="313" t="s">
        <v>84</v>
      </c>
      <c r="M74" s="282" t="str">
        <f t="shared" si="22"/>
        <v>nincs</v>
      </c>
      <c r="N74" s="313" t="s">
        <v>84</v>
      </c>
      <c r="O74" s="282" t="str">
        <f t="shared" si="23"/>
        <v>nincs</v>
      </c>
      <c r="P74" s="313" t="s">
        <v>84</v>
      </c>
      <c r="Q74" s="282" t="str">
        <f t="shared" si="24"/>
        <v>nincs</v>
      </c>
      <c r="R74" s="313" t="s">
        <v>84</v>
      </c>
      <c r="S74" s="282" t="str">
        <f t="shared" si="25"/>
        <v>nincs</v>
      </c>
      <c r="T74" s="313" t="s">
        <v>84</v>
      </c>
      <c r="U74" s="282" t="str">
        <f t="shared" si="26"/>
        <v>nincs</v>
      </c>
    </row>
    <row r="75" spans="1:21" x14ac:dyDescent="0.35">
      <c r="A75">
        <v>68</v>
      </c>
      <c r="B75" s="71" t="s">
        <v>227</v>
      </c>
      <c r="D75" s="313" t="s">
        <v>84</v>
      </c>
      <c r="E75" s="282" t="str">
        <f t="shared" si="18"/>
        <v>nincs</v>
      </c>
      <c r="F75" s="313" t="s">
        <v>84</v>
      </c>
      <c r="G75" s="282" t="str">
        <f t="shared" si="19"/>
        <v>nincs</v>
      </c>
      <c r="H75" s="313" t="s">
        <v>84</v>
      </c>
      <c r="I75" s="282" t="str">
        <f t="shared" si="20"/>
        <v>nincs</v>
      </c>
      <c r="J75" s="313" t="s">
        <v>84</v>
      </c>
      <c r="K75" s="282" t="str">
        <f t="shared" si="21"/>
        <v>nincs</v>
      </c>
      <c r="L75" s="313" t="s">
        <v>84</v>
      </c>
      <c r="M75" s="282" t="str">
        <f t="shared" si="22"/>
        <v>nincs</v>
      </c>
      <c r="N75" s="313" t="s">
        <v>84</v>
      </c>
      <c r="O75" s="282" t="str">
        <f t="shared" si="23"/>
        <v>nincs</v>
      </c>
      <c r="P75" s="313" t="s">
        <v>84</v>
      </c>
      <c r="Q75" s="282" t="str">
        <f t="shared" si="24"/>
        <v>nincs</v>
      </c>
      <c r="R75" s="313" t="s">
        <v>84</v>
      </c>
      <c r="S75" s="282" t="str">
        <f t="shared" si="25"/>
        <v>nincs</v>
      </c>
      <c r="T75" s="313" t="s">
        <v>84</v>
      </c>
      <c r="U75" s="282" t="str">
        <f t="shared" si="26"/>
        <v>nincs</v>
      </c>
    </row>
    <row r="76" spans="1:21" x14ac:dyDescent="0.35">
      <c r="A76">
        <v>69</v>
      </c>
      <c r="B76" s="73" t="s">
        <v>228</v>
      </c>
      <c r="D76" s="313" t="s">
        <v>84</v>
      </c>
      <c r="E76" s="282" t="str">
        <f t="shared" si="18"/>
        <v>nincs</v>
      </c>
      <c r="F76" s="313" t="s">
        <v>84</v>
      </c>
      <c r="G76" s="282" t="str">
        <f t="shared" si="19"/>
        <v>nincs</v>
      </c>
      <c r="H76" s="313" t="s">
        <v>84</v>
      </c>
      <c r="I76" s="282" t="str">
        <f t="shared" si="20"/>
        <v>nincs</v>
      </c>
      <c r="J76" s="313" t="s">
        <v>84</v>
      </c>
      <c r="K76" s="282" t="str">
        <f t="shared" si="21"/>
        <v>nincs</v>
      </c>
      <c r="L76" s="313" t="s">
        <v>84</v>
      </c>
      <c r="M76" s="282" t="str">
        <f t="shared" si="22"/>
        <v>nincs</v>
      </c>
      <c r="N76" s="313" t="s">
        <v>84</v>
      </c>
      <c r="O76" s="282" t="str">
        <f t="shared" si="23"/>
        <v>nincs</v>
      </c>
      <c r="P76" s="313" t="s">
        <v>84</v>
      </c>
      <c r="Q76" s="282" t="str">
        <f t="shared" si="24"/>
        <v>nincs</v>
      </c>
      <c r="R76" s="313" t="s">
        <v>84</v>
      </c>
      <c r="S76" s="282" t="str">
        <f t="shared" si="25"/>
        <v>nincs</v>
      </c>
      <c r="T76" s="313" t="s">
        <v>84</v>
      </c>
      <c r="U76" s="282" t="str">
        <f t="shared" si="26"/>
        <v>nincs</v>
      </c>
    </row>
    <row r="77" spans="1:21" x14ac:dyDescent="0.35">
      <c r="A77">
        <v>70</v>
      </c>
      <c r="B77" s="73" t="s">
        <v>229</v>
      </c>
      <c r="D77" s="313" t="s">
        <v>84</v>
      </c>
      <c r="E77" s="282" t="str">
        <f t="shared" si="18"/>
        <v>nincs</v>
      </c>
      <c r="F77" s="313" t="s">
        <v>84</v>
      </c>
      <c r="G77" s="282" t="str">
        <f t="shared" si="19"/>
        <v>nincs</v>
      </c>
      <c r="H77" s="313" t="s">
        <v>84</v>
      </c>
      <c r="I77" s="282" t="str">
        <f t="shared" si="20"/>
        <v>nincs</v>
      </c>
      <c r="J77" s="313" t="s">
        <v>84</v>
      </c>
      <c r="K77" s="282" t="str">
        <f t="shared" si="21"/>
        <v>nincs</v>
      </c>
      <c r="L77" s="313" t="s">
        <v>84</v>
      </c>
      <c r="M77" s="282" t="str">
        <f t="shared" si="22"/>
        <v>nincs</v>
      </c>
      <c r="N77" s="313" t="s">
        <v>84</v>
      </c>
      <c r="O77" s="282" t="str">
        <f t="shared" si="23"/>
        <v>nincs</v>
      </c>
      <c r="P77" s="313" t="s">
        <v>84</v>
      </c>
      <c r="Q77" s="282" t="str">
        <f t="shared" si="24"/>
        <v>nincs</v>
      </c>
      <c r="R77" s="313" t="s">
        <v>84</v>
      </c>
      <c r="S77" s="282" t="str">
        <f t="shared" si="25"/>
        <v>nincs</v>
      </c>
      <c r="T77" s="313" t="s">
        <v>84</v>
      </c>
      <c r="U77" s="282" t="str">
        <f t="shared" si="26"/>
        <v>nincs</v>
      </c>
    </row>
    <row r="78" spans="1:21" x14ac:dyDescent="0.35">
      <c r="A78">
        <v>71</v>
      </c>
      <c r="B78" s="73" t="s">
        <v>84</v>
      </c>
      <c r="D78" s="313" t="s">
        <v>84</v>
      </c>
      <c r="E78" s="282" t="str">
        <f t="shared" si="18"/>
        <v>nincs</v>
      </c>
      <c r="F78" s="313" t="s">
        <v>84</v>
      </c>
      <c r="G78" s="282" t="str">
        <f t="shared" si="19"/>
        <v>nincs</v>
      </c>
      <c r="H78" s="313" t="s">
        <v>84</v>
      </c>
      <c r="I78" s="282" t="str">
        <f t="shared" si="20"/>
        <v>nincs</v>
      </c>
      <c r="J78" s="313" t="s">
        <v>84</v>
      </c>
      <c r="K78" s="282" t="str">
        <f t="shared" si="21"/>
        <v>nincs</v>
      </c>
      <c r="L78" s="313" t="s">
        <v>84</v>
      </c>
      <c r="M78" s="282" t="str">
        <f t="shared" si="22"/>
        <v>nincs</v>
      </c>
      <c r="N78" s="313" t="s">
        <v>84</v>
      </c>
      <c r="O78" s="282" t="str">
        <f t="shared" si="23"/>
        <v>nincs</v>
      </c>
      <c r="P78" s="313" t="s">
        <v>84</v>
      </c>
      <c r="Q78" s="282" t="str">
        <f t="shared" si="24"/>
        <v>nincs</v>
      </c>
      <c r="R78" s="313" t="s">
        <v>84</v>
      </c>
      <c r="S78" s="282" t="str">
        <f t="shared" si="25"/>
        <v>nincs</v>
      </c>
      <c r="T78" s="313" t="s">
        <v>84</v>
      </c>
      <c r="U78" s="282" t="str">
        <f t="shared" si="26"/>
        <v>nincs</v>
      </c>
    </row>
    <row r="79" spans="1:21" x14ac:dyDescent="0.35">
      <c r="B79" s="340" t="s">
        <v>665</v>
      </c>
      <c r="C79">
        <v>17</v>
      </c>
      <c r="D79" s="313">
        <v>549900</v>
      </c>
      <c r="E79" s="282">
        <f t="shared" si="18"/>
        <v>432992</v>
      </c>
      <c r="F79" s="313">
        <v>606900</v>
      </c>
      <c r="G79" s="282">
        <f t="shared" si="19"/>
        <v>477874</v>
      </c>
      <c r="H79" s="313">
        <v>582300</v>
      </c>
      <c r="I79" s="282">
        <f t="shared" si="20"/>
        <v>458504</v>
      </c>
      <c r="J79" s="313">
        <v>639300</v>
      </c>
      <c r="K79" s="282">
        <f t="shared" si="21"/>
        <v>503386</v>
      </c>
      <c r="L79" s="313">
        <v>640800</v>
      </c>
      <c r="M79" s="282">
        <f t="shared" si="22"/>
        <v>504567</v>
      </c>
      <c r="N79" s="313">
        <v>697900</v>
      </c>
      <c r="O79" s="282">
        <f t="shared" si="23"/>
        <v>549528</v>
      </c>
      <c r="P79" s="313">
        <v>577200</v>
      </c>
      <c r="Q79" s="282">
        <f t="shared" si="24"/>
        <v>454488</v>
      </c>
      <c r="R79" s="313">
        <v>609600</v>
      </c>
      <c r="S79" s="282">
        <f t="shared" si="25"/>
        <v>480000</v>
      </c>
      <c r="T79" s="313">
        <v>668100</v>
      </c>
      <c r="U79" s="282">
        <f t="shared" si="26"/>
        <v>526063</v>
      </c>
    </row>
    <row r="80" spans="1:21" x14ac:dyDescent="0.35">
      <c r="B80" s="340" t="s">
        <v>666</v>
      </c>
      <c r="C80">
        <v>20</v>
      </c>
      <c r="D80" s="313" t="s">
        <v>527</v>
      </c>
      <c r="E80" s="282"/>
      <c r="F80" s="313" t="s">
        <v>527</v>
      </c>
      <c r="G80" s="282"/>
      <c r="H80" s="313" t="s">
        <v>527</v>
      </c>
      <c r="I80" s="282"/>
      <c r="J80" s="313" t="s">
        <v>527</v>
      </c>
      <c r="K80" s="282"/>
      <c r="L80" s="313">
        <v>705000</v>
      </c>
      <c r="M80" s="282">
        <f t="shared" si="22"/>
        <v>555118</v>
      </c>
      <c r="N80" s="313">
        <v>775300</v>
      </c>
      <c r="O80" s="282">
        <f t="shared" si="23"/>
        <v>610472</v>
      </c>
      <c r="P80" s="313" t="s">
        <v>527</v>
      </c>
      <c r="Q80" s="282"/>
      <c r="R80" s="313" t="s">
        <v>527</v>
      </c>
      <c r="S80" s="282"/>
      <c r="T80" s="313">
        <v>732300</v>
      </c>
      <c r="U80" s="282">
        <f t="shared" si="26"/>
        <v>576614</v>
      </c>
    </row>
  </sheetData>
  <protectedRanges>
    <protectedRange password="CC6D" sqref="B11:B12 B16:B76" name="Tartomány1"/>
  </protectedRanges>
  <sortState xmlns:xlrd2="http://schemas.microsoft.com/office/spreadsheetml/2017/richdata2" ref="A8:U80">
    <sortCondition ref="A8:A80"/>
  </sortState>
  <mergeCells count="18">
    <mergeCell ref="R2:R3"/>
    <mergeCell ref="T2:T3"/>
    <mergeCell ref="P5:Q6"/>
    <mergeCell ref="R5:S6"/>
    <mergeCell ref="T5:U6"/>
    <mergeCell ref="N2:N3"/>
    <mergeCell ref="P2:P3"/>
    <mergeCell ref="D5:E6"/>
    <mergeCell ref="F5:G6"/>
    <mergeCell ref="H5:I6"/>
    <mergeCell ref="J5:K6"/>
    <mergeCell ref="L5:M6"/>
    <mergeCell ref="N5:O6"/>
    <mergeCell ref="D2:D3"/>
    <mergeCell ref="F2:F3"/>
    <mergeCell ref="H2:H3"/>
    <mergeCell ref="J2:J3"/>
    <mergeCell ref="L2:L3"/>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Munka1">
    <tabColor indexed="13"/>
  </sheetPr>
  <dimension ref="B1:AG45"/>
  <sheetViews>
    <sheetView tabSelected="1" zoomScale="145" zoomScaleNormal="145" workbookViewId="0">
      <selection activeCell="B2" sqref="B2"/>
    </sheetView>
  </sheetViews>
  <sheetFormatPr defaultColWidth="9.19921875" defaultRowHeight="12.75" x14ac:dyDescent="0.35"/>
  <cols>
    <col min="1" max="1" width="1.19921875" style="35" customWidth="1"/>
    <col min="2" max="2" width="2.265625" style="35" customWidth="1"/>
    <col min="3" max="3" width="4.19921875" style="35" customWidth="1"/>
    <col min="4" max="8" width="7.46484375" style="35" customWidth="1"/>
    <col min="9" max="9" width="4.796875" style="35" customWidth="1"/>
    <col min="10" max="10" width="6.265625" style="35" customWidth="1"/>
    <col min="11" max="11" width="2.796875" style="35" customWidth="1"/>
    <col min="12" max="12" width="1.53125" style="35" customWidth="1"/>
    <col min="13" max="13" width="9.46484375" style="35" customWidth="1"/>
    <col min="14" max="14" width="7.19921875" style="35" customWidth="1"/>
    <col min="15" max="15" width="9.46484375" style="35" customWidth="1"/>
    <col min="16" max="16" width="4" style="35" customWidth="1"/>
    <col min="17" max="17" width="6.19921875" style="35" customWidth="1"/>
    <col min="18" max="18" width="1.53125" style="35" customWidth="1"/>
    <col min="19" max="19" width="2.19921875" style="35" customWidth="1"/>
    <col min="20" max="20" width="2.53125" style="35" customWidth="1"/>
    <col min="21" max="21" width="11.53125" style="35" customWidth="1"/>
    <col min="22" max="22" width="11" style="35" customWidth="1"/>
    <col min="23" max="23" width="9.19921875" style="35"/>
    <col min="24" max="24" width="7.19921875" style="35" customWidth="1"/>
    <col min="25" max="25" width="2.796875" style="35" customWidth="1"/>
    <col min="26" max="26" width="10.265625" style="139" customWidth="1"/>
    <col min="27" max="27" width="3" style="139" customWidth="1"/>
    <col min="28" max="32" width="9.19921875" style="139"/>
    <col min="33" max="16384" width="9.19921875" style="35"/>
  </cols>
  <sheetData>
    <row r="1" spans="2:33" ht="6.75" customHeight="1" x14ac:dyDescent="0.35"/>
    <row r="2" spans="2:33" ht="10.5" customHeight="1" thickBot="1" x14ac:dyDescent="0.4">
      <c r="B2" s="1"/>
      <c r="C2" s="2"/>
      <c r="D2" s="2"/>
      <c r="E2" s="2"/>
      <c r="F2" s="2"/>
      <c r="G2" s="2"/>
      <c r="H2" s="2"/>
      <c r="I2" s="2"/>
      <c r="J2" s="2"/>
      <c r="K2" s="2"/>
      <c r="L2" s="1"/>
      <c r="M2" s="1"/>
      <c r="N2" s="1"/>
      <c r="O2" s="1"/>
      <c r="P2" s="1"/>
      <c r="Q2" s="1"/>
      <c r="R2" s="1"/>
      <c r="S2" s="1"/>
      <c r="U2" s="402" t="s">
        <v>245</v>
      </c>
      <c r="V2" s="402"/>
      <c r="W2" s="402"/>
      <c r="X2" s="402"/>
      <c r="Y2" s="120">
        <v>1</v>
      </c>
      <c r="Z2" s="141"/>
      <c r="AG2" s="138"/>
    </row>
    <row r="3" spans="2:33" s="36" customFormat="1" ht="20.25" customHeight="1" x14ac:dyDescent="0.4">
      <c r="B3" s="3"/>
      <c r="C3" s="83" t="s">
        <v>44</v>
      </c>
      <c r="D3" s="4"/>
      <c r="E3" s="5"/>
      <c r="F3" s="5"/>
      <c r="G3" s="5"/>
      <c r="H3" s="5"/>
      <c r="I3" s="30"/>
      <c r="J3" s="4"/>
      <c r="K3" s="4"/>
      <c r="L3" s="4"/>
      <c r="M3" s="4"/>
      <c r="N3" s="4"/>
      <c r="O3" s="4"/>
      <c r="P3" s="4"/>
      <c r="Q3" s="4"/>
      <c r="R3" s="6"/>
      <c r="S3" s="3"/>
      <c r="T3" s="35"/>
      <c r="U3" s="402"/>
      <c r="V3" s="402"/>
      <c r="W3" s="402"/>
      <c r="X3" s="402"/>
      <c r="Z3" s="139"/>
      <c r="AA3" s="139"/>
      <c r="AB3" s="139"/>
      <c r="AC3" s="139"/>
      <c r="AD3" s="139"/>
      <c r="AE3" s="139"/>
      <c r="AF3" s="139"/>
      <c r="AG3" s="138"/>
    </row>
    <row r="4" spans="2:33" ht="12.75" customHeight="1" x14ac:dyDescent="0.6">
      <c r="B4" s="1"/>
      <c r="C4" s="7"/>
      <c r="D4" s="1"/>
      <c r="E4" s="1"/>
      <c r="F4" s="1"/>
      <c r="G4" s="1"/>
      <c r="H4" s="405"/>
      <c r="I4" s="405"/>
      <c r="J4" s="405"/>
      <c r="K4" s="405"/>
      <c r="L4" s="25"/>
      <c r="M4" s="25"/>
      <c r="N4" s="25"/>
      <c r="O4" s="25"/>
      <c r="P4" s="26"/>
      <c r="Q4" s="1"/>
      <c r="R4" s="28"/>
      <c r="S4" s="1"/>
      <c r="AG4" s="138"/>
    </row>
    <row r="5" spans="2:33" ht="12.75" customHeight="1" x14ac:dyDescent="0.6">
      <c r="B5" s="1"/>
      <c r="C5" s="7"/>
      <c r="D5" s="1"/>
      <c r="E5" s="1"/>
      <c r="F5" s="1"/>
      <c r="G5" s="1"/>
      <c r="H5" s="405"/>
      <c r="I5" s="405"/>
      <c r="J5" s="405"/>
      <c r="K5" s="405"/>
      <c r="L5" s="25"/>
      <c r="M5" s="25"/>
      <c r="N5" s="25"/>
      <c r="O5" s="25"/>
      <c r="P5" s="26"/>
      <c r="Q5" s="1"/>
      <c r="R5" s="28"/>
      <c r="S5" s="1"/>
      <c r="AG5" s="138"/>
    </row>
    <row r="6" spans="2:33" ht="12.75" customHeight="1" x14ac:dyDescent="0.6">
      <c r="B6" s="1"/>
      <c r="C6" s="412"/>
      <c r="D6" s="413"/>
      <c r="E6" s="413"/>
      <c r="F6" s="413"/>
      <c r="G6" s="413"/>
      <c r="H6" s="413"/>
      <c r="I6" s="413"/>
      <c r="J6" s="413"/>
      <c r="K6" s="31"/>
      <c r="L6" s="31"/>
      <c r="M6" s="128">
        <v>41517</v>
      </c>
      <c r="N6" s="31"/>
      <c r="O6" s="31"/>
      <c r="P6" s="32"/>
      <c r="Q6" s="34"/>
      <c r="R6" s="28"/>
      <c r="S6" s="1"/>
      <c r="AA6" s="139">
        <v>0</v>
      </c>
      <c r="AG6" s="138"/>
    </row>
    <row r="7" spans="2:33" ht="17.25" customHeight="1" x14ac:dyDescent="0.6">
      <c r="B7" s="1"/>
      <c r="C7" s="421" t="s">
        <v>336</v>
      </c>
      <c r="D7" s="422"/>
      <c r="E7" s="422"/>
      <c r="F7" s="422"/>
      <c r="G7" s="422"/>
      <c r="H7" s="422"/>
      <c r="I7" s="422"/>
      <c r="J7" s="422"/>
      <c r="K7" s="144"/>
      <c r="L7" s="144"/>
      <c r="M7" s="145" t="s">
        <v>251</v>
      </c>
      <c r="N7" s="144"/>
      <c r="O7" s="31"/>
      <c r="P7" s="32"/>
      <c r="Q7" s="27"/>
      <c r="R7" s="28"/>
      <c r="S7" s="1"/>
      <c r="AG7" s="138"/>
    </row>
    <row r="8" spans="2:33" ht="12.75" customHeight="1" x14ac:dyDescent="0.6">
      <c r="B8" s="1"/>
      <c r="C8" s="146" t="s">
        <v>331</v>
      </c>
      <c r="D8" s="147"/>
      <c r="E8" s="147"/>
      <c r="F8" s="147"/>
      <c r="G8" s="147"/>
      <c r="H8" s="147"/>
      <c r="I8" s="147"/>
      <c r="J8" s="147"/>
      <c r="K8" s="144"/>
      <c r="L8" s="144"/>
      <c r="M8" s="144"/>
      <c r="N8" s="144"/>
      <c r="O8" s="31"/>
      <c r="P8" s="32"/>
      <c r="Q8" s="27"/>
      <c r="R8" s="28"/>
      <c r="S8" s="1"/>
      <c r="Z8" s="139">
        <f>Munka1!$B$114</f>
        <v>66</v>
      </c>
      <c r="AB8" s="139" t="s">
        <v>325</v>
      </c>
      <c r="AG8" s="138"/>
    </row>
    <row r="9" spans="2:33" ht="14.25" customHeight="1" x14ac:dyDescent="0.6">
      <c r="B9" s="1"/>
      <c r="C9" s="146" t="s">
        <v>332</v>
      </c>
      <c r="D9" s="147"/>
      <c r="E9" s="147"/>
      <c r="F9" s="147"/>
      <c r="G9" s="147"/>
      <c r="H9" s="147"/>
      <c r="I9" s="147"/>
      <c r="J9" s="419" t="str">
        <f ca="1">IF(TODAY()&lt;M6,IF(Munka1!B114&lt;&gt;12,IF(Munka1!B114&lt;&gt;20,"",M7),M7),"")</f>
        <v/>
      </c>
      <c r="K9" s="419"/>
      <c r="L9" s="419"/>
      <c r="M9" s="419"/>
      <c r="N9" s="419"/>
      <c r="O9" s="31"/>
      <c r="P9" s="32"/>
      <c r="Q9" s="27"/>
      <c r="R9" s="28"/>
      <c r="S9" s="1"/>
      <c r="Z9" s="139">
        <f>Munka1!$C$144</f>
        <v>3</v>
      </c>
      <c r="AB9" s="139" t="s">
        <v>326</v>
      </c>
      <c r="AG9" s="138"/>
    </row>
    <row r="10" spans="2:33" ht="12" customHeight="1" thickBot="1" x14ac:dyDescent="0.45">
      <c r="B10" s="1"/>
      <c r="C10" s="148"/>
      <c r="D10" s="149"/>
      <c r="E10" s="147"/>
      <c r="F10" s="147"/>
      <c r="G10" s="147"/>
      <c r="H10" s="150"/>
      <c r="I10" s="149"/>
      <c r="J10" s="420"/>
      <c r="K10" s="420"/>
      <c r="L10" s="420"/>
      <c r="M10" s="420"/>
      <c r="N10" s="420"/>
      <c r="O10" s="2"/>
      <c r="P10" s="10"/>
      <c r="Q10" s="10"/>
      <c r="R10" s="9"/>
      <c r="S10" s="1"/>
      <c r="Z10" s="139">
        <f ca="1">IF(TODAY()&lt;Z12,IF(Z8&gt;37,0.9,1),1)</f>
        <v>1</v>
      </c>
      <c r="AB10" s="139" t="s">
        <v>347</v>
      </c>
      <c r="AG10" s="138"/>
    </row>
    <row r="11" spans="2:33" s="37" customFormat="1" ht="28.5" customHeight="1" thickBot="1" x14ac:dyDescent="0.6">
      <c r="B11" s="11"/>
      <c r="C11" s="406" t="str">
        <f>IF(AA6=0," Ajánlat",IF(AA6=1,"Ajánlat          VISZONTELADÓI ÁTADÁSI ÁRAK!","Ajánlat V.I.P. VISZONTELADÓI ÁTADÁSI ÁRAK!"))</f>
        <v xml:space="preserve"> Ajánlat</v>
      </c>
      <c r="D11" s="407"/>
      <c r="E11" s="407"/>
      <c r="F11" s="407"/>
      <c r="G11" s="407"/>
      <c r="H11" s="407"/>
      <c r="I11" s="407"/>
      <c r="J11" s="407"/>
      <c r="K11" s="407"/>
      <c r="L11" s="407"/>
      <c r="M11" s="407"/>
      <c r="N11" s="407"/>
      <c r="O11" s="407"/>
      <c r="P11" s="407"/>
      <c r="Q11" s="407"/>
      <c r="R11" s="408"/>
      <c r="S11" s="11"/>
      <c r="T11" s="35"/>
      <c r="Z11" s="139" t="s">
        <v>327</v>
      </c>
      <c r="AA11" s="140"/>
      <c r="AB11" s="140"/>
      <c r="AC11" s="140"/>
      <c r="AD11" s="140"/>
      <c r="AE11" s="140"/>
      <c r="AF11" s="140"/>
      <c r="AG11" s="159"/>
    </row>
    <row r="12" spans="2:33" s="38" customFormat="1" ht="33" customHeight="1" thickBot="1" x14ac:dyDescent="0.4">
      <c r="B12" s="12"/>
      <c r="C12" s="13" t="s">
        <v>3</v>
      </c>
      <c r="D12" s="409" t="s">
        <v>4</v>
      </c>
      <c r="E12" s="410"/>
      <c r="F12" s="410"/>
      <c r="G12" s="410"/>
      <c r="H12" s="410"/>
      <c r="I12" s="410"/>
      <c r="J12" s="411"/>
      <c r="K12" s="428" t="s">
        <v>5</v>
      </c>
      <c r="L12" s="428"/>
      <c r="M12" s="14" t="s">
        <v>46</v>
      </c>
      <c r="N12" s="14" t="s">
        <v>6</v>
      </c>
      <c r="O12" s="14" t="s">
        <v>7</v>
      </c>
      <c r="P12" s="428" t="s">
        <v>8</v>
      </c>
      <c r="Q12" s="428"/>
      <c r="R12" s="433"/>
      <c r="S12" s="12"/>
      <c r="T12" s="35"/>
      <c r="U12" s="427">
        <f>IF(Munka1!$B$52=1,1,2)</f>
        <v>2</v>
      </c>
      <c r="V12" s="427"/>
      <c r="W12" s="427"/>
      <c r="X12" s="427"/>
      <c r="Z12" s="141">
        <v>43084</v>
      </c>
      <c r="AA12" s="418"/>
      <c r="AB12" s="418"/>
      <c r="AC12" s="142"/>
      <c r="AD12" s="142"/>
      <c r="AE12" s="142"/>
      <c r="AF12" s="142"/>
      <c r="AG12" s="160"/>
    </row>
    <row r="13" spans="2:33" s="39" customFormat="1" ht="24" customHeight="1" x14ac:dyDescent="0.35">
      <c r="B13" s="16"/>
      <c r="C13" s="423" t="str">
        <f>CONCATENATE(IF(Munka1!B52=1,"","ÉVES AKCIÓS "),"Hörmann szekcionált garázskapu ajánlat")</f>
        <v>ÉVES AKCIÓS Hörmann szekcionált garázskapu ajánlat</v>
      </c>
      <c r="D13" s="424"/>
      <c r="E13" s="424"/>
      <c r="F13" s="424"/>
      <c r="G13" s="424"/>
      <c r="H13" s="424"/>
      <c r="I13" s="424"/>
      <c r="J13" s="424"/>
      <c r="K13" s="425"/>
      <c r="L13" s="425"/>
      <c r="M13" s="425"/>
      <c r="N13" s="425"/>
      <c r="O13" s="425"/>
      <c r="P13" s="425"/>
      <c r="Q13" s="425"/>
      <c r="R13" s="426"/>
      <c r="S13" s="16"/>
      <c r="T13" s="35"/>
      <c r="U13" s="427"/>
      <c r="V13" s="427"/>
      <c r="W13" s="427"/>
      <c r="X13" s="427"/>
      <c r="Z13" s="139" t="str">
        <f ca="1">IF(AND(TODAY()&lt;Z12,Z9=3,Z8&gt;37)," ahol …. ","")</f>
        <v/>
      </c>
      <c r="AA13" s="158"/>
      <c r="AB13" s="158"/>
      <c r="AC13" s="143"/>
      <c r="AD13" s="143"/>
      <c r="AE13" s="143"/>
      <c r="AF13" s="143"/>
      <c r="AG13" s="161"/>
    </row>
    <row r="14" spans="2:33" s="39" customFormat="1" ht="24" customHeight="1" x14ac:dyDescent="0.35">
      <c r="B14" s="16"/>
      <c r="C14" s="184">
        <v>1</v>
      </c>
      <c r="D14" s="429" t="str">
        <f ca="1">IF(Munka1!D181="nincs ilyen","Nincs ilyen! Kérem, próbálja meg másik motorral, vagy válassza a teljes kínálatot!",CONCATENATE(Munka1!C180," ",IF(Z9=2,"MEGSZŰNT! (2014.06.30-ig volt rendelhető.)","")))</f>
        <v xml:space="preserve">5500x2125 mm 4,2 cm szigetelésű Renomatic M bordás woodgrain felületű garázskapu torziórugós sínvezetéssel (ÉVES AKCIÓS ÁR!) </v>
      </c>
      <c r="E14" s="430"/>
      <c r="F14" s="430"/>
      <c r="G14" s="430"/>
      <c r="H14" s="430"/>
      <c r="I14" s="430"/>
      <c r="J14" s="431"/>
      <c r="K14" s="403">
        <v>1</v>
      </c>
      <c r="L14" s="404"/>
      <c r="M14" s="189">
        <f ca="1">IF(Z9=3,SUM(Munka1!K32:K33)*Z10,IF(Z9=2,IF(TODAY()&gt;Z12,"megszűnt",SUM(Munka1!K32:K33)),SUM(Munka1!K32:K33)))</f>
        <v>575512</v>
      </c>
      <c r="N14" s="206" t="str">
        <f>Munka1!N267</f>
        <v>AKCIÓS ÁR</v>
      </c>
      <c r="O14" s="189">
        <f ca="1">IF(M14="nincs ilyen","nincs ilyen",IF(OR(N14="AKCIÓS ÁR",N14=""),M14,IF(M14="","",M14*(1-N14))))</f>
        <v>575512</v>
      </c>
      <c r="P14" s="414">
        <f ca="1">IF(M14="nincs ilyen","nincs ilyen",ROUND(M14*(1-IF(OR(N14="AKCIÓS ÁR",N14=""),0,N14)),0)*K14)</f>
        <v>575512</v>
      </c>
      <c r="Q14" s="414"/>
      <c r="R14" s="415"/>
      <c r="S14" s="16"/>
      <c r="T14" s="35"/>
      <c r="U14" s="432">
        <f>IF(Munka1!$B$52=1,1,2)</f>
        <v>2</v>
      </c>
      <c r="V14" s="432"/>
      <c r="W14" s="432"/>
      <c r="X14" s="432"/>
      <c r="Z14" s="174"/>
      <c r="AA14" s="143"/>
      <c r="AB14" s="143"/>
      <c r="AC14" s="143"/>
      <c r="AD14" s="143"/>
      <c r="AE14" s="143"/>
      <c r="AF14" s="143"/>
      <c r="AG14" s="161"/>
    </row>
    <row r="15" spans="2:33" s="39" customFormat="1" ht="24" customHeight="1" x14ac:dyDescent="0.35">
      <c r="B15" s="16"/>
      <c r="C15" s="185" t="str">
        <f>IF(D15="","",C14+1)</f>
        <v/>
      </c>
      <c r="D15" s="344" t="str">
        <f>IF(M15="","",CONCATENATE("Fekete kilincsgarnitúra ",Munka1!C189))</f>
        <v/>
      </c>
      <c r="E15" s="345"/>
      <c r="F15" s="345"/>
      <c r="G15" s="345"/>
      <c r="H15" s="345"/>
      <c r="I15" s="345"/>
      <c r="J15" s="346"/>
      <c r="K15" s="416" t="str">
        <f>IF(M15="","",1)</f>
        <v/>
      </c>
      <c r="L15" s="416"/>
      <c r="M15" s="190" t="str">
        <f>IF(Munka1!B200=1,Munka1!K34,IF(Munka1!B188=TRUE,Munka1!K34,IF(OR(Munka1!C123=TRUE,Munka1!B52=2),"",Munka1!K34)))</f>
        <v/>
      </c>
      <c r="N15" s="187" t="str">
        <f>IF(D15="","",Munka1!$L$273)</f>
        <v/>
      </c>
      <c r="O15" s="190" t="str">
        <f>IF(N15="",M15,IF(N15="",M15,IF(M15="","",M15*(1-N15))))</f>
        <v/>
      </c>
      <c r="P15" s="347" t="str">
        <f>IF(K15="","",ROUND(M15*(1-IF(N15="",0,N15)),0)*K15)</f>
        <v/>
      </c>
      <c r="Q15" s="347"/>
      <c r="R15" s="348"/>
      <c r="S15" s="16"/>
      <c r="T15" s="35"/>
      <c r="U15" s="432"/>
      <c r="V15" s="432"/>
      <c r="W15" s="432"/>
      <c r="X15" s="432"/>
      <c r="Z15" s="174"/>
      <c r="AA15" s="158"/>
      <c r="AB15" s="143"/>
      <c r="AC15" s="143"/>
      <c r="AD15" s="143"/>
      <c r="AE15" s="143"/>
      <c r="AF15" s="143"/>
      <c r="AG15" s="161"/>
    </row>
    <row r="16" spans="2:33" s="39" customFormat="1" ht="24" customHeight="1" x14ac:dyDescent="0.35">
      <c r="B16" s="16"/>
      <c r="C16" s="185">
        <f ca="1">IF(D16="","",SUM(K$14:L15)+1)</f>
        <v>2</v>
      </c>
      <c r="D16" s="344" t="str">
        <f ca="1">IF(Munka1!D181="nincs ilyen","Nincs ilyen!",IF(Munka1!B52=2,Munka1!F111,IF(M16="","",CONCATENATE(Munka1!C125," motor ",Munka1!C126," sínnel, ",Munka1!C128," db ",Munka1!C129," távirányítóval"))))</f>
        <v>Supramatic 4 E motor, 1 db HSE4 BS távadóval (motor AKCIÓS ÁRÁT A KAPU ÁRA TARTALMAZZA)</v>
      </c>
      <c r="E16" s="345"/>
      <c r="F16" s="345"/>
      <c r="G16" s="345"/>
      <c r="H16" s="345"/>
      <c r="I16" s="345"/>
      <c r="J16" s="346"/>
      <c r="K16" s="349">
        <f>IF(M16="","",1)</f>
        <v>1</v>
      </c>
      <c r="L16" s="350"/>
      <c r="M16" s="190">
        <f>IF(Munka1!B52=2,0,IF(Munka1!C123=TRUE,SUM(Munka1!K35:K36),""))</f>
        <v>0</v>
      </c>
      <c r="N16" s="207" t="str">
        <f ca="1">IF(D16="","",Munka1!$N$267)</f>
        <v>AKCIÓS ÁR</v>
      </c>
      <c r="O16" s="190">
        <f ca="1">IF(M16="","",M16*(1-IF(OR(N16="AKCIÓS ÁR",N16=""),0,N16)))</f>
        <v>0</v>
      </c>
      <c r="P16" s="347">
        <f ca="1">IF(K16="","",ROUND(M16*(1-IF(OR(N16="AKCIÓS ÁR",N16=""),0,N16)),0)*K16)</f>
        <v>0</v>
      </c>
      <c r="Q16" s="347"/>
      <c r="R16" s="348"/>
      <c r="S16" s="16"/>
      <c r="T16" s="35"/>
      <c r="U16" s="432"/>
      <c r="V16" s="432"/>
      <c r="W16" s="432"/>
      <c r="X16" s="432"/>
      <c r="Z16" s="222"/>
      <c r="AA16" s="143"/>
      <c r="AB16" s="143"/>
      <c r="AC16" s="143"/>
      <c r="AD16" s="143"/>
      <c r="AE16" s="143"/>
      <c r="AF16" s="143"/>
    </row>
    <row r="17" spans="2:32" s="39" customFormat="1" ht="24" customHeight="1" x14ac:dyDescent="0.35">
      <c r="B17" s="16"/>
      <c r="C17" s="185" t="str">
        <f>IF(D17="","",SUM(K$14:L16)+1)</f>
        <v/>
      </c>
      <c r="D17" s="344" t="str">
        <f>IF(Munka1!B248=FALSE,"",IF(OR(Munka1!C123=TRUE,Munka1!B52=2),"fotocella optikai akadályérzékeléshez","Csak motoros kapuhoz szerelhető fotocella"))</f>
        <v/>
      </c>
      <c r="E17" s="345"/>
      <c r="F17" s="345"/>
      <c r="G17" s="345"/>
      <c r="H17" s="345"/>
      <c r="I17" s="345"/>
      <c r="J17" s="346"/>
      <c r="K17" s="349" t="str">
        <f>IF(M17="","",IF(M17=0,"",1))</f>
        <v/>
      </c>
      <c r="L17" s="350"/>
      <c r="M17" s="190" t="str">
        <f>IF(Munka1!B248=TRUE,IF(OR(Munka1!C123=TRUE,Munka1!B52=2),Munka1!K37,0),"")</f>
        <v/>
      </c>
      <c r="N17" s="187" t="str">
        <f>IF(D17="","",Munka1!L273)</f>
        <v/>
      </c>
      <c r="O17" s="190" t="str">
        <f>IF(M17="","",M17*(1-IF(M17=0,0,N17)))</f>
        <v/>
      </c>
      <c r="P17" s="347" t="str">
        <f>IF(K17="","",ROUND(M17*(1-IF(N17="",0,N17)),0)*K17)</f>
        <v/>
      </c>
      <c r="Q17" s="347"/>
      <c r="R17" s="348"/>
      <c r="S17" s="16"/>
      <c r="T17" s="35"/>
      <c r="U17" s="432"/>
      <c r="V17" s="432"/>
      <c r="W17" s="432"/>
      <c r="X17" s="432"/>
      <c r="Z17" s="174"/>
      <c r="AA17" s="143"/>
      <c r="AB17" s="143"/>
      <c r="AC17" s="143"/>
      <c r="AD17" s="143"/>
      <c r="AE17" s="143"/>
      <c r="AF17" s="143"/>
    </row>
    <row r="18" spans="2:32" s="39" customFormat="1" ht="24" customHeight="1" x14ac:dyDescent="0.35">
      <c r="B18" s="16"/>
      <c r="C18" s="185" t="str">
        <f>IF(D18="","",SUM(K$14:L17)+1)</f>
        <v/>
      </c>
      <c r="D18" s="344" t="str">
        <f>IF(M18="","",IF(OR(Munka1!C123=TRUE,Munka1!B52=2),Munka1!C194,"Távirányító (de még nem vállasztott motort!)"))</f>
        <v/>
      </c>
      <c r="E18" s="345"/>
      <c r="F18" s="345"/>
      <c r="G18" s="345"/>
      <c r="H18" s="345"/>
      <c r="I18" s="345"/>
      <c r="J18" s="346"/>
      <c r="K18" s="349" t="str">
        <f>IF(M18="","",Munka1!B193-1)</f>
        <v/>
      </c>
      <c r="L18" s="350"/>
      <c r="M18" s="190" t="str">
        <f>IF(OR(Munka1!B122&lt;&gt;1,Munka1!B52=2),IF(Munka1!B192=TRUE,Munka1!K38,""),"")</f>
        <v/>
      </c>
      <c r="N18" s="187" t="str">
        <f>IF(D18="","",Munka1!$L$273)</f>
        <v/>
      </c>
      <c r="O18" s="190" t="str">
        <f t="shared" ref="O18:O23" si="0">IF(N18="",M18,IF(M18="","",M18*(1-N18)))</f>
        <v/>
      </c>
      <c r="P18" s="347" t="str">
        <f t="shared" ref="P18:P23" si="1">IF(K18="","",ROUND(M18*(1-IF(N18="",0,N18)),0)*K18)</f>
        <v/>
      </c>
      <c r="Q18" s="347"/>
      <c r="R18" s="348"/>
      <c r="S18" s="16"/>
      <c r="T18" s="35"/>
      <c r="Z18" s="174"/>
      <c r="AA18" s="143"/>
      <c r="AB18" s="143"/>
      <c r="AC18" s="143"/>
      <c r="AD18" s="143"/>
      <c r="AE18" s="143"/>
      <c r="AF18" s="143"/>
    </row>
    <row r="19" spans="2:32" s="39" customFormat="1" ht="24" customHeight="1" x14ac:dyDescent="0.35">
      <c r="B19" s="16"/>
      <c r="C19" s="185" t="str">
        <f>IF(D19="","",SUM(K$14:L18)+1-IF(D$18="",0,Munka1!B193-2))</f>
        <v/>
      </c>
      <c r="D19" s="344" t="str">
        <f>IF(M19="","",Munka1!C202)</f>
        <v/>
      </c>
      <c r="E19" s="345"/>
      <c r="F19" s="345"/>
      <c r="G19" s="345"/>
      <c r="H19" s="345"/>
      <c r="I19" s="345"/>
      <c r="J19" s="346"/>
      <c r="K19" s="349" t="str">
        <f>IF(M19="","",1)</f>
        <v/>
      </c>
      <c r="L19" s="350"/>
      <c r="M19" s="190" t="str">
        <f>IF(OR(Munka1!C123=TRUE,Munka1!B52=2),IF(Munka1!C201=TRUE,Munka1!K39,""),"")</f>
        <v/>
      </c>
      <c r="N19" s="187" t="str">
        <f>IF(D19="","",Munka1!$L$273)</f>
        <v/>
      </c>
      <c r="O19" s="190" t="str">
        <f t="shared" si="0"/>
        <v/>
      </c>
      <c r="P19" s="347" t="str">
        <f t="shared" si="1"/>
        <v/>
      </c>
      <c r="Q19" s="347"/>
      <c r="R19" s="348"/>
      <c r="S19" s="16"/>
      <c r="T19" s="35"/>
      <c r="V19" s="121"/>
      <c r="W19" s="122"/>
      <c r="Z19" s="174"/>
      <c r="AA19" s="143"/>
      <c r="AB19" s="143"/>
      <c r="AC19" s="143"/>
      <c r="AD19" s="143"/>
      <c r="AE19" s="143"/>
      <c r="AF19" s="143"/>
    </row>
    <row r="20" spans="2:32" s="39" customFormat="1" ht="24" customHeight="1" x14ac:dyDescent="0.35">
      <c r="B20" s="16"/>
      <c r="C20" s="185" t="str">
        <f>IF(D20="","",SUM(K$14:L19)+1-IF(D$18="",0,Munka1!B193-2))</f>
        <v/>
      </c>
      <c r="D20" s="344" t="str">
        <f>IF(AA6&gt;0,IF(M20="","","Online felmérés"),IF(M20="","",IF(Munka1!B230=1,"online felmérés díja helyszínre kiszállás nélkül",CONCATENATE("helyszíni felmérés díja Székesfehérvártól számított ",Munka1!C245,"-re"))))</f>
        <v/>
      </c>
      <c r="E20" s="345"/>
      <c r="F20" s="345"/>
      <c r="G20" s="345"/>
      <c r="H20" s="345"/>
      <c r="I20" s="345"/>
      <c r="J20" s="346"/>
      <c r="K20" s="349" t="str">
        <f>IF(M20="","",1)</f>
        <v/>
      </c>
      <c r="L20" s="350"/>
      <c r="M20" s="190" t="str">
        <f>IF(Munka1!B229=TRUE,IF(Munka1!B230=1,0,Munka1!K40),"")</f>
        <v/>
      </c>
      <c r="N20" s="187" t="str">
        <f>IF(D20="","",IF(Munka1!$L$274=0,"",Munka1!$L$274))</f>
        <v/>
      </c>
      <c r="O20" s="190" t="str">
        <f t="shared" si="0"/>
        <v/>
      </c>
      <c r="P20" s="347" t="str">
        <f t="shared" si="1"/>
        <v/>
      </c>
      <c r="Q20" s="347"/>
      <c r="R20" s="348"/>
      <c r="S20" s="16"/>
      <c r="T20" s="35"/>
      <c r="Y20" s="35"/>
      <c r="Z20" s="174"/>
      <c r="AA20" s="143"/>
      <c r="AB20" s="143"/>
      <c r="AC20" s="143"/>
      <c r="AD20" s="143"/>
      <c r="AE20" s="143"/>
      <c r="AF20" s="143"/>
    </row>
    <row r="21" spans="2:32" s="39" customFormat="1" ht="24" customHeight="1" x14ac:dyDescent="0.35">
      <c r="B21" s="16"/>
      <c r="C21" s="185" t="str">
        <f>IF(D21="","",SUM(K$14:L20)+1-IF(D$18="",0,Munka1!B193-2))</f>
        <v/>
      </c>
      <c r="D21" s="344" t="str">
        <f>IF(M21="","","garázskapu beépítése (ideális fogadófelületet esetén)")</f>
        <v/>
      </c>
      <c r="E21" s="345"/>
      <c r="F21" s="345"/>
      <c r="G21" s="345"/>
      <c r="H21" s="345"/>
      <c r="I21" s="345"/>
      <c r="J21" s="346"/>
      <c r="K21" s="349" t="str">
        <f>IF(M21="","",1)</f>
        <v/>
      </c>
      <c r="L21" s="350"/>
      <c r="M21" s="190" t="str">
        <f>IF(Munka1!B232=TRUE,Munka1!K41,"")</f>
        <v/>
      </c>
      <c r="N21" s="187" t="str">
        <f>IF(D21="","",IF(Munka1!$L$274=0,"",Munka1!$L$274))</f>
        <v/>
      </c>
      <c r="O21" s="190" t="str">
        <f t="shared" si="0"/>
        <v/>
      </c>
      <c r="P21" s="347" t="str">
        <f t="shared" si="1"/>
        <v/>
      </c>
      <c r="Q21" s="347"/>
      <c r="R21" s="348"/>
      <c r="S21" s="16"/>
      <c r="T21" s="35"/>
      <c r="V21" s="174"/>
      <c r="W21" s="174"/>
      <c r="X21" s="174"/>
      <c r="Y21" s="174"/>
      <c r="Z21" s="174"/>
      <c r="AA21" s="143"/>
      <c r="AB21" s="143"/>
      <c r="AC21" s="143"/>
      <c r="AD21" s="143"/>
      <c r="AE21" s="143"/>
      <c r="AF21" s="143"/>
    </row>
    <row r="22" spans="2:32" s="39" customFormat="1" ht="24" customHeight="1" x14ac:dyDescent="0.35">
      <c r="B22" s="16"/>
      <c r="C22" s="185" t="str">
        <f>IF(K22=0,"",IF(K22="","",SUM(K$14:L21)+1-IF(D$18="",0,Munka1!B193-2)))</f>
        <v/>
      </c>
      <c r="D22" s="344" t="str">
        <f>IF(M22="",IF(M21="","",IF(M17="","","A kapu beépítési díja nem tartalmazza a motor telepítési díját!")),IF(K17&gt;0,"motor telepítése (elektromos hálózat kiépítése nélkül)","Még nem választott motort!"))</f>
        <v/>
      </c>
      <c r="E22" s="345"/>
      <c r="F22" s="345"/>
      <c r="G22" s="345"/>
      <c r="H22" s="345"/>
      <c r="I22" s="345"/>
      <c r="J22" s="346"/>
      <c r="K22" s="349" t="str">
        <f>IF(M22="","",IF(M22=0,0,1))</f>
        <v/>
      </c>
      <c r="L22" s="350"/>
      <c r="M22" s="190" t="str">
        <f>IF(Munka1!B242=TRUE,Munka1!K42,"")</f>
        <v/>
      </c>
      <c r="N22" s="187" t="str">
        <f>IF(D22="","",IF(Munka1!$L$274=0,"",Munka1!$L$274))</f>
        <v/>
      </c>
      <c r="O22" s="190" t="str">
        <f t="shared" si="0"/>
        <v/>
      </c>
      <c r="P22" s="347" t="str">
        <f t="shared" si="1"/>
        <v/>
      </c>
      <c r="Q22" s="347"/>
      <c r="R22" s="348"/>
      <c r="S22" s="16"/>
      <c r="T22" s="35"/>
      <c r="U22" s="427">
        <f>IF(Munka1!$B$52=1,1,2)</f>
        <v>2</v>
      </c>
      <c r="V22" s="427"/>
      <c r="W22" s="427"/>
      <c r="X22" s="427"/>
      <c r="Z22" s="174"/>
      <c r="AA22" s="143"/>
      <c r="AB22" s="143"/>
      <c r="AC22" s="143"/>
      <c r="AD22" s="143"/>
      <c r="AE22" s="143"/>
      <c r="AF22" s="143"/>
    </row>
    <row r="23" spans="2:32" s="39" customFormat="1" ht="24" customHeight="1" x14ac:dyDescent="0.35">
      <c r="B23" s="16"/>
      <c r="C23" s="185" t="str">
        <f>IF(D23="","",SUM(K$14:L22)+1-IF(D$18="",0,Munka1!B193-2))</f>
        <v/>
      </c>
      <c r="D23" s="344" t="str">
        <f>IF(AND(Munka1!B244=TRUE,AA6&gt;0),"+ Kiszállítás egyedi keretmegállapodás alapján",IF(M23="","",CONCATENATE("Kiszállítás díja Székesfehérvártól számított ",Munka1!C245,"-re")))</f>
        <v/>
      </c>
      <c r="E23" s="345"/>
      <c r="F23" s="345"/>
      <c r="G23" s="345"/>
      <c r="H23" s="345"/>
      <c r="I23" s="345"/>
      <c r="J23" s="346"/>
      <c r="K23" s="349" t="str">
        <f>IF(D23="","",1)</f>
        <v/>
      </c>
      <c r="L23" s="350"/>
      <c r="M23" s="190" t="str">
        <f>IF(Munka1!B244=TRUE,Munka1!K43,"")</f>
        <v/>
      </c>
      <c r="N23" s="187" t="str">
        <f>IF(D23="","",IF(Munka1!$L$275=0,"",Munka1!$L$275))</f>
        <v/>
      </c>
      <c r="O23" s="190" t="str">
        <f t="shared" si="0"/>
        <v/>
      </c>
      <c r="P23" s="347" t="str">
        <f t="shared" si="1"/>
        <v/>
      </c>
      <c r="Q23" s="347"/>
      <c r="R23" s="348"/>
      <c r="S23" s="16"/>
      <c r="T23" s="35"/>
      <c r="U23" s="427"/>
      <c r="V23" s="427"/>
      <c r="W23" s="427"/>
      <c r="X23" s="427"/>
      <c r="Z23" s="174"/>
      <c r="AA23" s="143"/>
      <c r="AB23" s="143"/>
      <c r="AC23" s="143"/>
      <c r="AD23" s="143"/>
      <c r="AE23" s="143"/>
      <c r="AF23" s="143"/>
    </row>
    <row r="24" spans="2:32" s="39" customFormat="1" ht="24" customHeight="1" x14ac:dyDescent="0.35">
      <c r="B24" s="16"/>
      <c r="C24" s="210" t="str">
        <f>IF(D24="","",SUM(K$14:L23)+1-IF(D$18="",0,Munka1!B193-2))</f>
        <v/>
      </c>
      <c r="D24" s="351" t="str">
        <f>IF(Munka1!B254=TRUE,"ThermoFrame hőszigetelő keret a tokcsomaghoz","")</f>
        <v/>
      </c>
      <c r="E24" s="352"/>
      <c r="F24" s="352"/>
      <c r="G24" s="352"/>
      <c r="H24" s="352"/>
      <c r="I24" s="352"/>
      <c r="J24" s="353"/>
      <c r="K24" s="354" t="str">
        <f>IF(D24="","",1)</f>
        <v/>
      </c>
      <c r="L24" s="355"/>
      <c r="M24" s="211" t="str">
        <f>IF(D24="","",Munka1!K44)</f>
        <v/>
      </c>
      <c r="N24" s="187" t="str">
        <f>IF(D24="","",Munka1!$L$273)</f>
        <v/>
      </c>
      <c r="O24" s="211" t="str">
        <f t="shared" ref="O24:O29" si="2">IF(M24="","",M24*(1-N24))</f>
        <v/>
      </c>
      <c r="P24" s="357" t="str">
        <f ca="1">IF(Munka1!B52=3,"",IF(M14="nincs ilyen","",IF(K24="","",ROUND(M24*(1-N24),0)*K24)))</f>
        <v/>
      </c>
      <c r="Q24" s="357"/>
      <c r="R24" s="358"/>
      <c r="S24" s="16"/>
      <c r="T24" s="35"/>
      <c r="Z24" s="233"/>
      <c r="AA24" s="143"/>
      <c r="AB24" s="143"/>
      <c r="AC24" s="143"/>
      <c r="AD24" s="143"/>
      <c r="AE24" s="143"/>
      <c r="AF24" s="143"/>
    </row>
    <row r="25" spans="2:32" s="39" customFormat="1" ht="24" customHeight="1" x14ac:dyDescent="0.4">
      <c r="B25" s="16"/>
      <c r="C25" s="185" t="str">
        <f>IF(OR(D25="",Munka1!B52=2),"",SUM(K$14:L24)+1-IF(D$18="",0,Munka1!B193-2))</f>
        <v/>
      </c>
      <c r="D25" s="344" t="str">
        <f>IF(AND(Munka1!B52=2,Munka1!B207=TRUE),"ÉVES AKCIÓS KAPUBA NEM LEHET ÁTJÁRÓAJTÓT KÉRNI!",IF(Munka1!B207=FALSE,"",IF(Munka1!C144&lt;&gt;3,"Csak a 4,2 cm szigetelésű kapuba lehet kérni!",IF(Munka1!C123=FALSE,CONCATENATE(Munka1!G218,"Átjáróajtó felára kézi kapu esetén ",Munka1!G220," küszöbbel (natúr alumínium ajtókerettel)"),IF(AND(Munka1!C125&lt;&gt;"Supramatic E",Munka1!C125&lt;&gt;"Supramatic P"),"Csak SupraMatic motorral lehet kérni az ajtós kaput!",CONCATENATE(Munka1!G218,"Átjáróajtó felára motoros kapu esetén ",Munka1!G220," küszöbbel (",IF(Munka1!B208=1,"natúr alumínium","kívül színes")," ajtókerettel)"))))))</f>
        <v/>
      </c>
      <c r="E25" s="345"/>
      <c r="F25" s="345"/>
      <c r="G25" s="345"/>
      <c r="H25" s="345"/>
      <c r="I25" s="345"/>
      <c r="J25" s="346"/>
      <c r="K25" s="349" t="str">
        <f>IF(OR(D25="",Munka1!B52=2),"",1)</f>
        <v/>
      </c>
      <c r="L25" s="350"/>
      <c r="M25" s="190" t="str">
        <f>IF(Munka1!B52=2,"",IF(Munka1!B207=FALSE,"",IF(Munka1!C144&lt;&gt;3,"",IF(Munka1!C123=FALSE,Munka1!K45,IF(AND(Munka1!C125&lt;&gt;"Supramatic E",Munka1!C125&lt;&gt;"Supramatic P"),"",Munka1!K45)))))</f>
        <v/>
      </c>
      <c r="N25" s="207" t="str">
        <f>IF(D25="","",Munka1!$N$267)</f>
        <v/>
      </c>
      <c r="O25" s="190" t="str">
        <f t="shared" si="2"/>
        <v/>
      </c>
      <c r="P25" s="347" t="str">
        <f>IF(M15="nincs ilyen","",IF(K25="","",ROUND(M25*(1-N25),0)*K25))</f>
        <v/>
      </c>
      <c r="Q25" s="347"/>
      <c r="R25" s="348"/>
      <c r="S25" s="16"/>
      <c r="T25" s="35"/>
      <c r="U25" s="124"/>
      <c r="V25" s="123"/>
      <c r="W25" s="417"/>
      <c r="X25" s="417"/>
      <c r="Z25" s="174"/>
      <c r="AA25" s="143"/>
      <c r="AB25" s="143"/>
      <c r="AC25" s="143"/>
      <c r="AD25" s="143"/>
      <c r="AE25" s="143"/>
      <c r="AF25" s="143"/>
    </row>
    <row r="26" spans="2:32" s="39" customFormat="1" ht="24" customHeight="1" x14ac:dyDescent="0.35">
      <c r="B26" s="16"/>
      <c r="C26" s="185" t="str">
        <f>IF(OR(D26="",Munka1!B52=2),"",SUM(K$14:L25)+1-IF(D$18="",0,Munka1!B193-2))</f>
        <v/>
      </c>
      <c r="D26" s="344" t="str">
        <f>IF(AND(Munka1!B52=2,Munka1!B183=TRUE),"ÉVES AKCIÓS KAPUBA NEM LEHET ABLAKOT KÉRNI!",IF(Munka1!B183=FALSE,"",CONCATENATE("Egy sor = ",VLOOKUP(Munka1!B114,Munka1!A288:AJ358,36),"db S0 beivlágító ablak a felső lamellába")))</f>
        <v/>
      </c>
      <c r="E26" s="345"/>
      <c r="F26" s="345"/>
      <c r="G26" s="345"/>
      <c r="H26" s="345"/>
      <c r="I26" s="345"/>
      <c r="J26" s="346"/>
      <c r="K26" s="349" t="str">
        <f>IF(OR(D26="",Munka1!B52=2),"",1)</f>
        <v/>
      </c>
      <c r="L26" s="350"/>
      <c r="M26" s="190" t="str">
        <f>IF(OR(D26="",Munka1!B52=2),"",Munka1!K46)</f>
        <v/>
      </c>
      <c r="N26" s="207" t="str">
        <f>IF(D26="","",Munka1!$N$267)</f>
        <v/>
      </c>
      <c r="O26" s="190" t="str">
        <f t="shared" si="2"/>
        <v/>
      </c>
      <c r="P26" s="347" t="str">
        <f>IF(M16="nincs ilyen","",IF(K26="","",ROUND(M26*(1-N26),0)*K26))</f>
        <v/>
      </c>
      <c r="Q26" s="347"/>
      <c r="R26" s="348"/>
      <c r="S26" s="16"/>
      <c r="T26" s="35"/>
      <c r="V26" s="163"/>
      <c r="Y26" s="129"/>
      <c r="Z26" s="174"/>
      <c r="AA26" s="143"/>
      <c r="AB26" s="143"/>
      <c r="AC26" s="143"/>
      <c r="AD26" s="143"/>
      <c r="AE26" s="143"/>
      <c r="AF26" s="143"/>
    </row>
    <row r="27" spans="2:32" s="39" customFormat="1" ht="24" customHeight="1" x14ac:dyDescent="0.35">
      <c r="B27" s="16"/>
      <c r="C27" s="185" t="str">
        <f>IF(OR(D27="",LEFT(D27,6)="FONTOS"),"",SUM(K$14:L26)+1-IF(D$18="",0,Munka1!B193-2))</f>
        <v/>
      </c>
      <c r="D27" s="344" t="str">
        <f>IF(Munka1!R134=TRUE,"FONTOS: Ehhez a méretű kapuhoz a Promatic motor garanciális feltétele a - napi nyitászámtól függő - féléves vagy éves karbantartás.","")</f>
        <v/>
      </c>
      <c r="E27" s="345"/>
      <c r="F27" s="345"/>
      <c r="G27" s="345"/>
      <c r="H27" s="345"/>
      <c r="I27" s="345"/>
      <c r="J27" s="346"/>
      <c r="K27" s="349" t="str">
        <f>IF(OR(D27="",LEFT(D27,6)="FONTOS"),"",1)</f>
        <v/>
      </c>
      <c r="L27" s="350"/>
      <c r="M27" s="186" t="str">
        <f>IF(OR(D27="",LEFT(D27,6)="FONTOS"),"",(M11+M13)*-0.03)</f>
        <v/>
      </c>
      <c r="N27" s="188"/>
      <c r="O27" s="186" t="str">
        <f t="shared" si="2"/>
        <v/>
      </c>
      <c r="P27" s="400" t="str">
        <f>IF(M17="nincs ilyen","",IF(K27="","",ROUND(M27*(1-N27),0)*K27))</f>
        <v/>
      </c>
      <c r="Q27" s="400"/>
      <c r="R27" s="401"/>
      <c r="S27" s="16"/>
      <c r="T27" s="35"/>
      <c r="V27" s="40"/>
      <c r="W27" s="115">
        <v>42004</v>
      </c>
      <c r="X27" s="116">
        <f ca="1">(SUM(P14:R19)+SUM(P24:R26))*1.27</f>
        <v>730900.24</v>
      </c>
      <c r="Y27" s="35"/>
      <c r="Z27" s="174"/>
      <c r="AA27" s="143"/>
      <c r="AB27" s="143"/>
      <c r="AC27" s="143"/>
      <c r="AD27" s="143"/>
      <c r="AE27" s="143"/>
      <c r="AF27" s="143"/>
    </row>
    <row r="28" spans="2:32" s="39" customFormat="1" ht="24" customHeight="1" x14ac:dyDescent="0.35">
      <c r="B28" s="16"/>
      <c r="C28" s="185" t="str">
        <f>IF(D28="","",SUM(K$14:L27)+1-IF(D$18="",0,Munka1!B193-2))</f>
        <v/>
      </c>
      <c r="D28" s="344" t="str">
        <f>IF(M28="","","24V-os vevőegység idegen gyártmányú kertkapukhoz")</f>
        <v/>
      </c>
      <c r="E28" s="345"/>
      <c r="F28" s="345"/>
      <c r="G28" s="345"/>
      <c r="H28" s="345"/>
      <c r="I28" s="345"/>
      <c r="J28" s="346"/>
      <c r="K28" s="349" t="str">
        <f>IF(D28="","",1)</f>
        <v/>
      </c>
      <c r="L28" s="350"/>
      <c r="M28" s="186" t="str">
        <f>IF(Munka1!B250=FALSE,"",Munka1!K48)</f>
        <v/>
      </c>
      <c r="N28" s="187" t="str">
        <f>IF(D28="","",Munka1!$L$273)</f>
        <v/>
      </c>
      <c r="O28" s="186" t="str">
        <f t="shared" si="2"/>
        <v/>
      </c>
      <c r="P28" s="400" t="str">
        <f>IF(M18="nincs ilyen","",IF(K28="","",ROUND(M28*(1-N28),0)*K28))</f>
        <v/>
      </c>
      <c r="Q28" s="400"/>
      <c r="R28" s="401"/>
      <c r="S28" s="16"/>
      <c r="T28" s="35"/>
      <c r="V28" s="35"/>
      <c r="Y28" s="35"/>
      <c r="Z28" s="174"/>
      <c r="AA28" s="143"/>
      <c r="AB28" s="143"/>
      <c r="AC28" s="143"/>
      <c r="AD28" s="143"/>
      <c r="AE28" s="143"/>
      <c r="AF28" s="143"/>
    </row>
    <row r="29" spans="2:32" s="39" customFormat="1" ht="24" customHeight="1" x14ac:dyDescent="0.35">
      <c r="B29" s="16"/>
      <c r="C29" s="185" t="str">
        <f>IF(D29="","",SUM(K$14:L28)+1-IF(D$18="",0,Munka1!B193-2))</f>
        <v/>
      </c>
      <c r="D29" s="344" t="str">
        <f>IF(Munka1!B252=FALSE,"",IF(K21="","","Felelős műszaki vezető és e-napló vezetés díja"))</f>
        <v/>
      </c>
      <c r="E29" s="345"/>
      <c r="F29" s="345"/>
      <c r="G29" s="345"/>
      <c r="H29" s="345"/>
      <c r="I29" s="345"/>
      <c r="J29" s="346"/>
      <c r="K29" s="349" t="str">
        <f>IF(D29="","",1)</f>
        <v/>
      </c>
      <c r="L29" s="350"/>
      <c r="M29" s="186" t="str">
        <f>IF(D29="","",IF(Munka1!B252=FALSE,"",Munka1!K49))</f>
        <v/>
      </c>
      <c r="N29" s="188"/>
      <c r="O29" s="186" t="str">
        <f t="shared" si="2"/>
        <v/>
      </c>
      <c r="P29" s="400" t="str">
        <f>IF(M19="nincs ilyen","",IF(K29="","",ROUND(M29*(1-N29),0)*K29))</f>
        <v/>
      </c>
      <c r="Q29" s="400"/>
      <c r="R29" s="401"/>
      <c r="S29" s="16"/>
      <c r="T29" s="35"/>
      <c r="V29" s="35"/>
      <c r="W29" s="35"/>
      <c r="X29" s="35"/>
      <c r="Y29" s="35"/>
      <c r="Z29" s="174"/>
      <c r="AA29" s="143"/>
      <c r="AB29" s="143"/>
      <c r="AC29" s="143"/>
      <c r="AD29" s="143"/>
      <c r="AE29" s="143"/>
      <c r="AF29" s="143"/>
    </row>
    <row r="30" spans="2:32" s="39" customFormat="1" ht="24" customHeight="1" x14ac:dyDescent="0.35">
      <c r="B30" s="16"/>
      <c r="C30" s="377" t="str">
        <f>IF(Munka1!B52=2,CONCATENATE("Akciós kapu felületválasztéka: ",Munka1!F110),"")</f>
        <v>Akciós kapu felületválasztéka: RAL9016, RAL9005, RAL9006, RAL9007, RAL7016, RAL8028, CH703 Antracit metál, Decocolor GoldenOak, Decocolor DarkOak, Decocolor NightOak</v>
      </c>
      <c r="D30" s="378"/>
      <c r="E30" s="378"/>
      <c r="F30" s="378"/>
      <c r="G30" s="378"/>
      <c r="H30" s="378"/>
      <c r="I30" s="378"/>
      <c r="J30" s="378"/>
      <c r="K30" s="378"/>
      <c r="L30" s="378"/>
      <c r="M30" s="378"/>
      <c r="N30" s="378"/>
      <c r="O30" s="378"/>
      <c r="P30" s="378"/>
      <c r="Q30" s="378"/>
      <c r="R30" s="379"/>
      <c r="S30" s="16"/>
      <c r="T30" s="35"/>
      <c r="U30" s="35"/>
      <c r="V30" s="35"/>
      <c r="W30" s="35"/>
      <c r="X30" s="35"/>
      <c r="Y30" s="35"/>
      <c r="Z30" s="174"/>
      <c r="AA30" s="143"/>
      <c r="AB30" s="143"/>
      <c r="AC30" s="143"/>
      <c r="AD30" s="143"/>
      <c r="AE30" s="143"/>
      <c r="AF30" s="143"/>
    </row>
    <row r="31" spans="2:32" s="39" customFormat="1" ht="21.75" customHeight="1" thickBot="1" x14ac:dyDescent="0.45">
      <c r="B31" s="16"/>
      <c r="C31" s="126"/>
      <c r="D31" s="375" t="str">
        <f>IF(AA6&gt;0,"","+ 30 000 Ft értékű ajándék!")</f>
        <v>+ 30 000 Ft értékű ajándék!</v>
      </c>
      <c r="E31" s="376"/>
      <c r="F31" s="376"/>
      <c r="G31" s="376"/>
      <c r="H31" s="376"/>
      <c r="I31" s="376"/>
      <c r="J31" s="376"/>
      <c r="K31" s="125"/>
      <c r="L31" s="125"/>
      <c r="M31" s="380"/>
      <c r="N31" s="381"/>
      <c r="O31" s="381"/>
      <c r="P31" s="381"/>
      <c r="Q31" s="381"/>
      <c r="R31" s="382"/>
      <c r="S31" s="16"/>
      <c r="T31" s="35"/>
      <c r="U31" s="35"/>
      <c r="V31" s="35"/>
      <c r="W31" s="35"/>
      <c r="X31" s="35"/>
      <c r="Y31" s="35"/>
      <c r="Z31" s="139"/>
      <c r="AA31" s="143"/>
      <c r="AB31" s="143"/>
      <c r="AC31" s="143"/>
      <c r="AD31" s="143"/>
      <c r="AE31" s="143"/>
      <c r="AF31" s="143"/>
    </row>
    <row r="32" spans="2:32" s="39" customFormat="1" ht="21.75" customHeight="1" thickBot="1" x14ac:dyDescent="0.4">
      <c r="B32" s="16"/>
      <c r="C32" s="41"/>
      <c r="D32" s="393" t="str">
        <f>IF(AA6&gt;0,"","2022. december 31-ig vásárolt garázskapuhoz most ajándékba adunk    10 db 3000 Ft-os karbantartási kupont, mellyel a garanciális időszakban kedvezményesen veheti igénybe szolgáltatásunkat.")</f>
        <v>2022. december 31-ig vásárolt garázskapuhoz most ajándékba adunk    10 db 3000 Ft-os karbantartási kupont, mellyel a garanciális időszakban kedvezményesen veheti igénybe szolgáltatásunkat.</v>
      </c>
      <c r="E32" s="394"/>
      <c r="F32" s="394"/>
      <c r="G32" s="394"/>
      <c r="H32" s="394"/>
      <c r="I32" s="394"/>
      <c r="J32" s="395"/>
      <c r="K32" s="106"/>
      <c r="L32" s="106"/>
      <c r="M32" s="43"/>
      <c r="N32" s="44"/>
      <c r="O32" s="43" t="str">
        <f>IF(M32="","",M32*(1-N32))</f>
        <v/>
      </c>
      <c r="P32" s="109" t="str">
        <f>IF(K32="","",ROUND(M32*(1-N32),0)*K32)</f>
        <v/>
      </c>
      <c r="Q32" s="110"/>
      <c r="R32" s="111"/>
      <c r="S32" s="16"/>
      <c r="T32" s="35"/>
      <c r="V32" s="35"/>
      <c r="W32" s="35"/>
      <c r="X32" s="35"/>
      <c r="Y32" s="35"/>
      <c r="Z32" s="139"/>
      <c r="AA32" s="143"/>
      <c r="AB32" s="143"/>
      <c r="AC32" s="143"/>
      <c r="AD32" s="143"/>
      <c r="AE32" s="143"/>
      <c r="AF32" s="143"/>
    </row>
    <row r="33" spans="2:32" s="39" customFormat="1" ht="21.75" customHeight="1" x14ac:dyDescent="0.4">
      <c r="B33" s="16"/>
      <c r="C33" s="42"/>
      <c r="D33" s="396"/>
      <c r="E33" s="397"/>
      <c r="F33" s="397"/>
      <c r="G33" s="397"/>
      <c r="H33" s="397"/>
      <c r="I33" s="397"/>
      <c r="J33" s="398"/>
      <c r="K33" s="107"/>
      <c r="L33" s="108"/>
      <c r="M33" s="43"/>
      <c r="N33" s="44"/>
      <c r="O33" s="43" t="str">
        <f>IF(M33="","",M33*(1-N33))</f>
        <v/>
      </c>
      <c r="P33" s="109" t="str">
        <f>IF(K33="","",ROUND(M33*(1-N33),0)*K33)</f>
        <v/>
      </c>
      <c r="Q33" s="110"/>
      <c r="R33" s="111"/>
      <c r="S33" s="16"/>
      <c r="T33" s="35"/>
      <c r="U33" s="180"/>
      <c r="V33" s="139"/>
      <c r="W33" s="399"/>
      <c r="X33" s="399"/>
      <c r="Y33" s="35"/>
      <c r="Z33" s="139"/>
      <c r="AA33" s="143"/>
      <c r="AB33" s="143"/>
      <c r="AC33" s="143"/>
      <c r="AD33" s="143"/>
      <c r="AE33" s="143"/>
      <c r="AF33" s="143"/>
    </row>
    <row r="34" spans="2:32" s="39" customFormat="1" ht="19.5" customHeight="1" thickBot="1" x14ac:dyDescent="0.4">
      <c r="B34" s="16"/>
      <c r="C34" s="368" t="s">
        <v>9</v>
      </c>
      <c r="D34" s="369"/>
      <c r="E34" s="369"/>
      <c r="F34" s="369"/>
      <c r="G34" s="369"/>
      <c r="H34" s="369"/>
      <c r="I34" s="369"/>
      <c r="J34" s="369"/>
      <c r="K34" s="369"/>
      <c r="L34" s="369"/>
      <c r="M34" s="369"/>
      <c r="N34" s="369"/>
      <c r="O34" s="369"/>
      <c r="P34" s="369"/>
      <c r="Q34" s="369"/>
      <c r="R34" s="370"/>
      <c r="S34" s="16"/>
      <c r="T34" s="35"/>
      <c r="V34" s="35"/>
      <c r="W34" s="35"/>
      <c r="X34" s="35"/>
      <c r="Y34" s="35"/>
      <c r="Z34" s="139"/>
      <c r="AA34" s="143"/>
      <c r="AB34" s="143"/>
      <c r="AC34" s="143"/>
      <c r="AD34" s="143"/>
      <c r="AE34" s="143"/>
      <c r="AF34" s="143"/>
    </row>
    <row r="35" spans="2:32" ht="3.75" customHeight="1" thickBot="1" x14ac:dyDescent="0.4">
      <c r="B35" s="1"/>
      <c r="C35" s="1"/>
      <c r="D35" s="1"/>
      <c r="E35" s="1"/>
      <c r="F35" s="1"/>
      <c r="G35" s="1"/>
      <c r="H35" s="1"/>
      <c r="I35" s="1"/>
      <c r="J35" s="1"/>
      <c r="K35" s="1"/>
      <c r="L35" s="1"/>
      <c r="M35" s="1"/>
      <c r="N35" s="1"/>
      <c r="O35" s="1"/>
      <c r="P35" s="1"/>
      <c r="Q35" s="1"/>
      <c r="R35" s="1"/>
      <c r="S35" s="1"/>
    </row>
    <row r="36" spans="2:32" ht="18" customHeight="1" x14ac:dyDescent="0.35">
      <c r="B36" s="1"/>
      <c r="C36" s="389" t="s">
        <v>330</v>
      </c>
      <c r="D36" s="389"/>
      <c r="E36" s="389"/>
      <c r="F36" s="389"/>
      <c r="G36" s="389"/>
      <c r="H36" s="389"/>
      <c r="I36" s="389"/>
      <c r="J36" s="389"/>
      <c r="K36" s="389"/>
      <c r="L36" s="21"/>
      <c r="M36" s="359" t="s">
        <v>10</v>
      </c>
      <c r="N36" s="360"/>
      <c r="O36" s="385">
        <f ca="1">IF(SUM(P14:R34)=0,"",SUM(P14:R34))</f>
        <v>575512</v>
      </c>
      <c r="P36" s="385"/>
      <c r="Q36" s="385"/>
      <c r="R36" s="386"/>
      <c r="S36" s="1"/>
    </row>
    <row r="37" spans="2:32" ht="19.5" customHeight="1" x14ac:dyDescent="0.35">
      <c r="B37" s="1"/>
      <c r="C37" s="389"/>
      <c r="D37" s="389"/>
      <c r="E37" s="389"/>
      <c r="F37" s="389"/>
      <c r="G37" s="389"/>
      <c r="H37" s="389"/>
      <c r="I37" s="389"/>
      <c r="J37" s="389"/>
      <c r="K37" s="389"/>
      <c r="L37" s="21"/>
      <c r="M37" s="361" t="s">
        <v>139</v>
      </c>
      <c r="N37" s="362"/>
      <c r="O37" s="363">
        <f ca="1">IF(O36="","",ROUND(O36*0.27,0))</f>
        <v>155388</v>
      </c>
      <c r="P37" s="363"/>
      <c r="Q37" s="363"/>
      <c r="R37" s="364"/>
      <c r="S37" s="1"/>
    </row>
    <row r="38" spans="2:32" ht="18.75" customHeight="1" x14ac:dyDescent="0.4">
      <c r="B38" s="1"/>
      <c r="C38" s="392" t="s">
        <v>11</v>
      </c>
      <c r="D38" s="392"/>
      <c r="E38" s="392"/>
      <c r="F38" s="392"/>
      <c r="G38" s="392"/>
      <c r="H38" s="392"/>
      <c r="I38" s="392"/>
      <c r="J38" s="392"/>
      <c r="K38" s="392"/>
      <c r="L38" s="22"/>
      <c r="M38" s="390" t="s">
        <v>12</v>
      </c>
      <c r="N38" s="391"/>
      <c r="O38" s="383">
        <f ca="1">IF(O36="","",O36+O37)</f>
        <v>730900</v>
      </c>
      <c r="P38" s="383"/>
      <c r="Q38" s="383"/>
      <c r="R38" s="384"/>
      <c r="S38" s="1"/>
    </row>
    <row r="39" spans="2:32" ht="24.75" customHeight="1" x14ac:dyDescent="0.35">
      <c r="B39" s="1"/>
      <c r="C39" s="387" t="s">
        <v>320</v>
      </c>
      <c r="D39" s="387"/>
      <c r="E39" s="387"/>
      <c r="F39" s="387"/>
      <c r="G39" s="387"/>
      <c r="H39" s="387"/>
      <c r="I39" s="387"/>
      <c r="J39" s="387"/>
      <c r="K39" s="387"/>
      <c r="L39" s="388"/>
      <c r="M39" s="7" t="s">
        <v>13</v>
      </c>
      <c r="N39" s="1"/>
      <c r="O39" s="373">
        <f ca="1">TODAY()</f>
        <v>45356</v>
      </c>
      <c r="P39" s="374"/>
      <c r="Q39" s="374"/>
      <c r="R39" s="23"/>
      <c r="S39" s="1"/>
    </row>
    <row r="40" spans="2:32" ht="3" customHeight="1" thickBot="1" x14ac:dyDescent="0.4">
      <c r="B40" s="1"/>
      <c r="C40" s="1"/>
      <c r="D40" s="1"/>
      <c r="E40" s="1"/>
      <c r="F40" s="1"/>
      <c r="G40" s="1"/>
      <c r="H40" s="1"/>
      <c r="I40" s="1"/>
      <c r="J40" s="1"/>
      <c r="K40" s="1"/>
      <c r="L40" s="24"/>
      <c r="M40" s="8"/>
      <c r="N40" s="2"/>
      <c r="O40" s="2"/>
      <c r="P40" s="2"/>
      <c r="Q40" s="2"/>
      <c r="R40" s="9"/>
      <c r="S40" s="1"/>
    </row>
    <row r="41" spans="2:32" ht="12" customHeight="1" x14ac:dyDescent="0.35">
      <c r="B41" s="1"/>
      <c r="C41" s="371" t="s">
        <v>14</v>
      </c>
      <c r="D41" s="371"/>
      <c r="E41" s="372"/>
      <c r="F41" s="372"/>
      <c r="G41" s="181" t="str">
        <f ca="1">CONCATENATE(YEAR(Munka1!E8),".",MONTH(Munka1!E8),".",DAY(Munka1!E8),"-ig")</f>
        <v>2024.4.4-ig</v>
      </c>
      <c r="H41" s="182"/>
      <c r="I41" s="182"/>
      <c r="J41" s="182"/>
      <c r="K41" s="182"/>
      <c r="L41" s="182"/>
      <c r="M41" s="183"/>
      <c r="N41" s="183"/>
      <c r="O41" s="183"/>
      <c r="P41" s="183"/>
      <c r="Q41" s="183"/>
      <c r="R41" s="183"/>
      <c r="S41" s="1"/>
    </row>
    <row r="42" spans="2:32" ht="12" customHeight="1" x14ac:dyDescent="0.35">
      <c r="B42" s="1"/>
      <c r="C42" s="367" t="s">
        <v>230</v>
      </c>
      <c r="D42" s="367"/>
      <c r="E42" s="367"/>
      <c r="F42" s="367"/>
      <c r="G42" s="366" t="s">
        <v>247</v>
      </c>
      <c r="H42" s="366"/>
      <c r="I42" s="366"/>
      <c r="J42" s="366"/>
      <c r="K42" s="366"/>
      <c r="L42" s="366"/>
      <c r="M42" s="173"/>
      <c r="N42" s="173"/>
      <c r="O42" s="173"/>
      <c r="P42" s="173"/>
      <c r="Q42" s="173"/>
      <c r="R42" s="173"/>
      <c r="S42" s="1"/>
    </row>
    <row r="43" spans="2:32" ht="12" customHeight="1" x14ac:dyDescent="0.35">
      <c r="B43" s="1"/>
      <c r="C43" s="1"/>
      <c r="D43" s="1"/>
      <c r="E43" s="1"/>
      <c r="F43" s="1"/>
      <c r="G43" s="16" t="s">
        <v>246</v>
      </c>
      <c r="H43" s="20"/>
      <c r="I43" s="20"/>
      <c r="J43" s="20"/>
      <c r="K43" s="20"/>
      <c r="L43" s="21"/>
      <c r="M43" s="365" t="s">
        <v>15</v>
      </c>
      <c r="N43" s="365"/>
      <c r="O43" s="365"/>
      <c r="P43" s="365"/>
      <c r="Q43" s="365"/>
      <c r="R43" s="365"/>
      <c r="S43" s="1"/>
    </row>
    <row r="44" spans="2:32" ht="12.75" customHeight="1" x14ac:dyDescent="0.35">
      <c r="B44" s="1"/>
      <c r="C44" s="1"/>
      <c r="D44" s="1"/>
      <c r="E44" s="1"/>
      <c r="F44" s="1"/>
      <c r="G44" s="20"/>
      <c r="H44" s="20"/>
      <c r="I44" s="20"/>
      <c r="J44" s="20"/>
      <c r="K44" s="20"/>
      <c r="L44" s="1"/>
      <c r="M44" s="356" t="s">
        <v>323</v>
      </c>
      <c r="N44" s="356"/>
      <c r="O44" s="356"/>
      <c r="P44" s="356"/>
      <c r="Q44" s="356"/>
      <c r="R44" s="356"/>
      <c r="S44" s="1"/>
      <c r="U44" s="179" t="s">
        <v>667</v>
      </c>
    </row>
    <row r="45" spans="2:32" ht="12.75" customHeight="1" x14ac:dyDescent="0.35"/>
  </sheetData>
  <sheetProtection algorithmName="SHA-512" hashValue="/r2pW9/MiRuUiSIlxSTPHq3yJ67si4hFaB69dGxdwvQ6W2KSZRlrv64UsVUpjJ4L9EkuehCmhstYnaex+efFOg==" saltValue="zFpCLWjwfuDeqAKXv42w1w==" spinCount="100000" sheet="1" selectLockedCells="1" selectUnlockedCells="1"/>
  <mergeCells count="86">
    <mergeCell ref="W25:X25"/>
    <mergeCell ref="K21:L21"/>
    <mergeCell ref="AA12:AB12"/>
    <mergeCell ref="J9:N10"/>
    <mergeCell ref="C7:J7"/>
    <mergeCell ref="C13:R13"/>
    <mergeCell ref="U22:X23"/>
    <mergeCell ref="P23:R23"/>
    <mergeCell ref="D22:J22"/>
    <mergeCell ref="K12:L12"/>
    <mergeCell ref="D14:J14"/>
    <mergeCell ref="U12:X13"/>
    <mergeCell ref="U14:X17"/>
    <mergeCell ref="P12:R12"/>
    <mergeCell ref="P17:R17"/>
    <mergeCell ref="K17:L17"/>
    <mergeCell ref="U2:X3"/>
    <mergeCell ref="P21:R21"/>
    <mergeCell ref="K22:L22"/>
    <mergeCell ref="K14:L14"/>
    <mergeCell ref="P19:R19"/>
    <mergeCell ref="K19:L19"/>
    <mergeCell ref="H4:K5"/>
    <mergeCell ref="C11:R11"/>
    <mergeCell ref="D12:E12"/>
    <mergeCell ref="F12:J12"/>
    <mergeCell ref="C6:J6"/>
    <mergeCell ref="D17:J17"/>
    <mergeCell ref="P14:R14"/>
    <mergeCell ref="P15:R15"/>
    <mergeCell ref="P18:R18"/>
    <mergeCell ref="K15:L15"/>
    <mergeCell ref="P27:R27"/>
    <mergeCell ref="D28:J28"/>
    <mergeCell ref="K27:L27"/>
    <mergeCell ref="K28:L28"/>
    <mergeCell ref="K25:L25"/>
    <mergeCell ref="K26:L26"/>
    <mergeCell ref="W33:X33"/>
    <mergeCell ref="D29:J29"/>
    <mergeCell ref="K29:L29"/>
    <mergeCell ref="P29:R29"/>
    <mergeCell ref="P28:R28"/>
    <mergeCell ref="C41:D41"/>
    <mergeCell ref="E41:F41"/>
    <mergeCell ref="O39:Q39"/>
    <mergeCell ref="D31:J31"/>
    <mergeCell ref="C30:R30"/>
    <mergeCell ref="M31:R31"/>
    <mergeCell ref="O38:R38"/>
    <mergeCell ref="O36:R36"/>
    <mergeCell ref="C39:L39"/>
    <mergeCell ref="C36:K37"/>
    <mergeCell ref="M38:N38"/>
    <mergeCell ref="C38:K38"/>
    <mergeCell ref="D32:J33"/>
    <mergeCell ref="D15:J15"/>
    <mergeCell ref="M44:R44"/>
    <mergeCell ref="P24:R24"/>
    <mergeCell ref="M36:N36"/>
    <mergeCell ref="M37:N37"/>
    <mergeCell ref="O37:R37"/>
    <mergeCell ref="P26:R26"/>
    <mergeCell ref="M43:R43"/>
    <mergeCell ref="D25:J25"/>
    <mergeCell ref="G42:L42"/>
    <mergeCell ref="C42:F42"/>
    <mergeCell ref="P16:R16"/>
    <mergeCell ref="K16:L16"/>
    <mergeCell ref="D27:J27"/>
    <mergeCell ref="K18:L18"/>
    <mergeCell ref="C34:R34"/>
    <mergeCell ref="D16:J16"/>
    <mergeCell ref="D18:J18"/>
    <mergeCell ref="D26:J26"/>
    <mergeCell ref="P22:R22"/>
    <mergeCell ref="K20:L20"/>
    <mergeCell ref="P20:R20"/>
    <mergeCell ref="D19:J19"/>
    <mergeCell ref="D20:J20"/>
    <mergeCell ref="D21:J21"/>
    <mergeCell ref="K23:L23"/>
    <mergeCell ref="P25:R25"/>
    <mergeCell ref="D24:J24"/>
    <mergeCell ref="D23:J23"/>
    <mergeCell ref="K24:L24"/>
  </mergeCells>
  <phoneticPr fontId="0" type="noConversion"/>
  <conditionalFormatting sqref="U22">
    <cfRule type="cellIs" dxfId="11" priority="1" stopIfTrue="1" operator="lessThan">
      <formula>2</formula>
    </cfRule>
    <cfRule type="cellIs" dxfId="10" priority="2" stopIfTrue="1" operator="greaterThan">
      <formula>1</formula>
    </cfRule>
    <cfRule type="cellIs" dxfId="9" priority="5" stopIfTrue="1" operator="lessThan">
      <formula>2</formula>
    </cfRule>
    <cfRule type="cellIs" dxfId="8" priority="6" stopIfTrue="1" operator="greaterThan">
      <formula>1</formula>
    </cfRule>
    <cfRule type="cellIs" dxfId="7" priority="7" stopIfTrue="1" operator="lessThan">
      <formula>2</formula>
    </cfRule>
    <cfRule type="cellIs" dxfId="6" priority="8" stopIfTrue="1" operator="greaterThan">
      <formula>1</formula>
    </cfRule>
  </conditionalFormatting>
  <conditionalFormatting sqref="U12:X13">
    <cfRule type="cellIs" dxfId="5" priority="11" stopIfTrue="1" operator="lessThan">
      <formula>2</formula>
    </cfRule>
    <cfRule type="cellIs" dxfId="4" priority="12" stopIfTrue="1" operator="greaterThan">
      <formula>1</formula>
    </cfRule>
  </conditionalFormatting>
  <conditionalFormatting sqref="U14:X17">
    <cfRule type="cellIs" dxfId="3" priority="9" stopIfTrue="1" operator="lessThan">
      <formula>2</formula>
    </cfRule>
    <cfRule type="cellIs" dxfId="2" priority="10" stopIfTrue="1" operator="greaterThan">
      <formula>1</formula>
    </cfRule>
  </conditionalFormatting>
  <printOptions horizontalCentered="1" verticalCentered="1"/>
  <pageMargins left="0.19685039370078741" right="0.19685039370078741" top="0.19685039370078741" bottom="0.19685039370078741" header="0.51181102362204722" footer="0.51181102362204722"/>
  <pageSetup paperSize="9" scale="98" orientation="portrait" r:id="rId1"/>
  <headerFooter alignWithMargins="0"/>
  <cellWatches>
    <cellWatch r="AA6"/>
  </cellWatches>
  <ignoredErrors>
    <ignoredError sqref="K22 K18 C22 P16" 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1026" r:id="rId4" name="Group Box 2">
              <controlPr defaultSize="0" autoFill="0" autoPict="0">
                <anchor moveWithCells="1">
                  <from>
                    <xdr:col>20</xdr:col>
                    <xdr:colOff>381000</xdr:colOff>
                    <xdr:row>3</xdr:row>
                    <xdr:rowOff>166688</xdr:rowOff>
                  </from>
                  <to>
                    <xdr:col>24</xdr:col>
                    <xdr:colOff>0</xdr:colOff>
                    <xdr:row>10</xdr:row>
                    <xdr:rowOff>357188</xdr:rowOff>
                  </to>
                </anchor>
              </controlPr>
            </control>
          </mc:Choice>
        </mc:AlternateContent>
        <mc:AlternateContent xmlns:mc="http://schemas.openxmlformats.org/markup-compatibility/2006">
          <mc:Choice Requires="x14">
            <control shapeId="1028" r:id="rId5" name="Drop Down 4">
              <controlPr defaultSize="0" autoLine="0" autoPict="0">
                <anchor moveWithCells="1">
                  <from>
                    <xdr:col>21</xdr:col>
                    <xdr:colOff>1490663</xdr:colOff>
                    <xdr:row>5</xdr:row>
                    <xdr:rowOff>214313</xdr:rowOff>
                  </from>
                  <to>
                    <xdr:col>23</xdr:col>
                    <xdr:colOff>814388</xdr:colOff>
                    <xdr:row>6</xdr:row>
                    <xdr:rowOff>419100</xdr:rowOff>
                  </to>
                </anchor>
              </controlPr>
            </control>
          </mc:Choice>
        </mc:AlternateContent>
        <mc:AlternateContent xmlns:mc="http://schemas.openxmlformats.org/markup-compatibility/2006">
          <mc:Choice Requires="x14">
            <control shapeId="1036" r:id="rId6" name="Check Box 12">
              <controlPr defaultSize="0" autoFill="0" autoLine="0" autoPict="0">
                <anchor moveWithCells="1">
                  <from>
                    <xdr:col>20</xdr:col>
                    <xdr:colOff>481013</xdr:colOff>
                    <xdr:row>17</xdr:row>
                    <xdr:rowOff>252413</xdr:rowOff>
                  </from>
                  <to>
                    <xdr:col>23</xdr:col>
                    <xdr:colOff>609600</xdr:colOff>
                    <xdr:row>18</xdr:row>
                    <xdr:rowOff>90488</xdr:rowOff>
                  </to>
                </anchor>
              </controlPr>
            </control>
          </mc:Choice>
        </mc:AlternateContent>
        <mc:AlternateContent xmlns:mc="http://schemas.openxmlformats.org/markup-compatibility/2006">
          <mc:Choice Requires="x14">
            <control shapeId="1040" r:id="rId7" name="Check Box 16">
              <controlPr defaultSize="0" autoFill="0" autoLine="0" autoPict="0">
                <anchor moveWithCells="1">
                  <from>
                    <xdr:col>20</xdr:col>
                    <xdr:colOff>519113</xdr:colOff>
                    <xdr:row>28</xdr:row>
                    <xdr:rowOff>609600</xdr:rowOff>
                  </from>
                  <to>
                    <xdr:col>22</xdr:col>
                    <xdr:colOff>1062038</xdr:colOff>
                    <xdr:row>29</xdr:row>
                    <xdr:rowOff>457200</xdr:rowOff>
                  </to>
                </anchor>
              </controlPr>
            </control>
          </mc:Choice>
        </mc:AlternateContent>
        <mc:AlternateContent xmlns:mc="http://schemas.openxmlformats.org/markup-compatibility/2006">
          <mc:Choice Requires="x14">
            <control shapeId="1041" r:id="rId8" name="Check Box 17">
              <controlPr defaultSize="0" autoFill="0" autoLine="0" autoPict="0">
                <anchor moveWithCells="1">
                  <from>
                    <xdr:col>20</xdr:col>
                    <xdr:colOff>528638</xdr:colOff>
                    <xdr:row>29</xdr:row>
                    <xdr:rowOff>242888</xdr:rowOff>
                  </from>
                  <to>
                    <xdr:col>23</xdr:col>
                    <xdr:colOff>0</xdr:colOff>
                    <xdr:row>30</xdr:row>
                    <xdr:rowOff>80963</xdr:rowOff>
                  </to>
                </anchor>
              </controlPr>
            </control>
          </mc:Choice>
        </mc:AlternateContent>
        <mc:AlternateContent xmlns:mc="http://schemas.openxmlformats.org/markup-compatibility/2006">
          <mc:Choice Requires="x14">
            <control shapeId="1042" r:id="rId9" name="Check Box 18">
              <controlPr defaultSize="0" autoFill="0" autoLine="0" autoPict="0">
                <anchor moveWithCells="1">
                  <from>
                    <xdr:col>20</xdr:col>
                    <xdr:colOff>528638</xdr:colOff>
                    <xdr:row>30</xdr:row>
                    <xdr:rowOff>14288</xdr:rowOff>
                  </from>
                  <to>
                    <xdr:col>23</xdr:col>
                    <xdr:colOff>0</xdr:colOff>
                    <xdr:row>31</xdr:row>
                    <xdr:rowOff>19050</xdr:rowOff>
                  </to>
                </anchor>
              </controlPr>
            </control>
          </mc:Choice>
        </mc:AlternateContent>
        <mc:AlternateContent xmlns:mc="http://schemas.openxmlformats.org/markup-compatibility/2006">
          <mc:Choice Requires="x14">
            <control shapeId="1043" r:id="rId10" name="Check Box 19">
              <controlPr defaultSize="0" autoFill="0" autoLine="0" autoPict="0">
                <anchor moveWithCells="1">
                  <from>
                    <xdr:col>20</xdr:col>
                    <xdr:colOff>519113</xdr:colOff>
                    <xdr:row>31</xdr:row>
                    <xdr:rowOff>138113</xdr:rowOff>
                  </from>
                  <to>
                    <xdr:col>24</xdr:col>
                    <xdr:colOff>0</xdr:colOff>
                    <xdr:row>31</xdr:row>
                    <xdr:rowOff>280988</xdr:rowOff>
                  </to>
                </anchor>
              </controlPr>
            </control>
          </mc:Choice>
        </mc:AlternateContent>
        <mc:AlternateContent xmlns:mc="http://schemas.openxmlformats.org/markup-compatibility/2006">
          <mc:Choice Requires="x14">
            <control shapeId="1046" r:id="rId11" name="Group Box 22">
              <controlPr defaultSize="0" autoFill="0" autoPict="0">
                <anchor moveWithCells="1">
                  <from>
                    <xdr:col>20</xdr:col>
                    <xdr:colOff>385763</xdr:colOff>
                    <xdr:row>17</xdr:row>
                    <xdr:rowOff>0</xdr:rowOff>
                  </from>
                  <to>
                    <xdr:col>24</xdr:col>
                    <xdr:colOff>0</xdr:colOff>
                    <xdr:row>20</xdr:row>
                    <xdr:rowOff>400050</xdr:rowOff>
                  </to>
                </anchor>
              </controlPr>
            </control>
          </mc:Choice>
        </mc:AlternateContent>
        <mc:AlternateContent xmlns:mc="http://schemas.openxmlformats.org/markup-compatibility/2006">
          <mc:Choice Requires="x14">
            <control shapeId="1047" r:id="rId12" name="Group Box 23">
              <controlPr defaultSize="0" autoFill="0" autoPict="0">
                <anchor moveWithCells="1">
                  <from>
                    <xdr:col>20</xdr:col>
                    <xdr:colOff>419100</xdr:colOff>
                    <xdr:row>28</xdr:row>
                    <xdr:rowOff>147638</xdr:rowOff>
                  </from>
                  <to>
                    <xdr:col>23</xdr:col>
                    <xdr:colOff>1347788</xdr:colOff>
                    <xdr:row>32</xdr:row>
                    <xdr:rowOff>509588</xdr:rowOff>
                  </to>
                </anchor>
              </controlPr>
            </control>
          </mc:Choice>
        </mc:AlternateContent>
        <mc:AlternateContent xmlns:mc="http://schemas.openxmlformats.org/markup-compatibility/2006">
          <mc:Choice Requires="x14">
            <control shapeId="1050" r:id="rId13" name="Drop Down 26">
              <controlPr defaultSize="0" autoLine="0" autoPict="0">
                <anchor moveWithCells="1">
                  <from>
                    <xdr:col>23</xdr:col>
                    <xdr:colOff>23813</xdr:colOff>
                    <xdr:row>23</xdr:row>
                    <xdr:rowOff>166688</xdr:rowOff>
                  </from>
                  <to>
                    <xdr:col>23</xdr:col>
                    <xdr:colOff>461963</xdr:colOff>
                    <xdr:row>24</xdr:row>
                    <xdr:rowOff>14288</xdr:rowOff>
                  </to>
                </anchor>
              </controlPr>
            </control>
          </mc:Choice>
        </mc:AlternateContent>
        <mc:AlternateContent xmlns:mc="http://schemas.openxmlformats.org/markup-compatibility/2006">
          <mc:Choice Requires="x14">
            <control shapeId="1071" r:id="rId14" name="Group Box 47">
              <controlPr defaultSize="0" autoFill="0" autoPict="0">
                <anchor moveWithCells="1">
                  <from>
                    <xdr:col>20</xdr:col>
                    <xdr:colOff>381000</xdr:colOff>
                    <xdr:row>10</xdr:row>
                    <xdr:rowOff>481013</xdr:rowOff>
                  </from>
                  <to>
                    <xdr:col>24</xdr:col>
                    <xdr:colOff>0</xdr:colOff>
                    <xdr:row>12</xdr:row>
                    <xdr:rowOff>80963</xdr:rowOff>
                  </to>
                </anchor>
              </controlPr>
            </control>
          </mc:Choice>
        </mc:AlternateContent>
        <mc:AlternateContent xmlns:mc="http://schemas.openxmlformats.org/markup-compatibility/2006">
          <mc:Choice Requires="x14">
            <control shapeId="1072" r:id="rId15" name="Group Box 48">
              <controlPr defaultSize="0" autoFill="0" autoPict="0">
                <anchor moveWithCells="1">
                  <from>
                    <xdr:col>20</xdr:col>
                    <xdr:colOff>381000</xdr:colOff>
                    <xdr:row>12</xdr:row>
                    <xdr:rowOff>71438</xdr:rowOff>
                  </from>
                  <to>
                    <xdr:col>24</xdr:col>
                    <xdr:colOff>0</xdr:colOff>
                    <xdr:row>12</xdr:row>
                    <xdr:rowOff>404813</xdr:rowOff>
                  </to>
                </anchor>
              </controlPr>
            </control>
          </mc:Choice>
        </mc:AlternateContent>
        <mc:AlternateContent xmlns:mc="http://schemas.openxmlformats.org/markup-compatibility/2006">
          <mc:Choice Requires="x14">
            <control shapeId="1074" r:id="rId16" name="Option Button 50">
              <controlPr defaultSize="0" autoFill="0" autoLine="0" autoPict="0">
                <anchor moveWithCells="1">
                  <from>
                    <xdr:col>20</xdr:col>
                    <xdr:colOff>471488</xdr:colOff>
                    <xdr:row>11</xdr:row>
                    <xdr:rowOff>71438</xdr:rowOff>
                  </from>
                  <to>
                    <xdr:col>21</xdr:col>
                    <xdr:colOff>342900</xdr:colOff>
                    <xdr:row>11</xdr:row>
                    <xdr:rowOff>309563</xdr:rowOff>
                  </to>
                </anchor>
              </controlPr>
            </control>
          </mc:Choice>
        </mc:AlternateContent>
        <mc:AlternateContent xmlns:mc="http://schemas.openxmlformats.org/markup-compatibility/2006">
          <mc:Choice Requires="x14">
            <control shapeId="1075" r:id="rId17" name="Option Button 51">
              <controlPr defaultSize="0" autoFill="0" autoLine="0" autoPict="0">
                <anchor moveWithCells="1">
                  <from>
                    <xdr:col>20</xdr:col>
                    <xdr:colOff>442913</xdr:colOff>
                    <xdr:row>12</xdr:row>
                    <xdr:rowOff>133350</xdr:rowOff>
                  </from>
                  <to>
                    <xdr:col>21</xdr:col>
                    <xdr:colOff>90488</xdr:colOff>
                    <xdr:row>12</xdr:row>
                    <xdr:rowOff>261938</xdr:rowOff>
                  </to>
                </anchor>
              </controlPr>
            </control>
          </mc:Choice>
        </mc:AlternateContent>
        <mc:AlternateContent xmlns:mc="http://schemas.openxmlformats.org/markup-compatibility/2006">
          <mc:Choice Requires="x14">
            <control shapeId="1076" r:id="rId18" name="Option Button 52">
              <controlPr defaultSize="0" autoFill="0" autoLine="0" autoPict="0">
                <anchor moveWithCells="1">
                  <from>
                    <xdr:col>21</xdr:col>
                    <xdr:colOff>261938</xdr:colOff>
                    <xdr:row>12</xdr:row>
                    <xdr:rowOff>128588</xdr:rowOff>
                  </from>
                  <to>
                    <xdr:col>22</xdr:col>
                    <xdr:colOff>204788</xdr:colOff>
                    <xdr:row>12</xdr:row>
                    <xdr:rowOff>271463</xdr:rowOff>
                  </to>
                </anchor>
              </controlPr>
            </control>
          </mc:Choice>
        </mc:AlternateContent>
        <mc:AlternateContent xmlns:mc="http://schemas.openxmlformats.org/markup-compatibility/2006">
          <mc:Choice Requires="x14">
            <control shapeId="1077" r:id="rId19" name="Option Button 53">
              <controlPr defaultSize="0" autoFill="0" autoLine="0" autoPict="0">
                <anchor moveWithCells="1">
                  <from>
                    <xdr:col>22</xdr:col>
                    <xdr:colOff>376238</xdr:colOff>
                    <xdr:row>12</xdr:row>
                    <xdr:rowOff>128588</xdr:rowOff>
                  </from>
                  <to>
                    <xdr:col>23</xdr:col>
                    <xdr:colOff>376238</xdr:colOff>
                    <xdr:row>12</xdr:row>
                    <xdr:rowOff>261938</xdr:rowOff>
                  </to>
                </anchor>
              </controlPr>
            </control>
          </mc:Choice>
        </mc:AlternateContent>
        <mc:AlternateContent xmlns:mc="http://schemas.openxmlformats.org/markup-compatibility/2006">
          <mc:Choice Requires="x14">
            <control shapeId="1079" r:id="rId20" name="Option Button 55">
              <controlPr defaultSize="0" autoFill="0" autoLine="0" autoPict="0">
                <anchor moveWithCells="1">
                  <from>
                    <xdr:col>21</xdr:col>
                    <xdr:colOff>790575</xdr:colOff>
                    <xdr:row>11</xdr:row>
                    <xdr:rowOff>319088</xdr:rowOff>
                  </from>
                  <to>
                    <xdr:col>22</xdr:col>
                    <xdr:colOff>47625</xdr:colOff>
                    <xdr:row>12</xdr:row>
                    <xdr:rowOff>23813</xdr:rowOff>
                  </to>
                </anchor>
              </controlPr>
            </control>
          </mc:Choice>
        </mc:AlternateContent>
        <mc:AlternateContent xmlns:mc="http://schemas.openxmlformats.org/markup-compatibility/2006">
          <mc:Choice Requires="x14">
            <control shapeId="1166" r:id="rId21" name="Check Box 142">
              <controlPr defaultSize="0" autoFill="0" autoLine="0" autoPict="0">
                <anchor moveWithCells="1">
                  <from>
                    <xdr:col>20</xdr:col>
                    <xdr:colOff>490538</xdr:colOff>
                    <xdr:row>19</xdr:row>
                    <xdr:rowOff>57150</xdr:rowOff>
                  </from>
                  <to>
                    <xdr:col>23</xdr:col>
                    <xdr:colOff>652463</xdr:colOff>
                    <xdr:row>19</xdr:row>
                    <xdr:rowOff>319088</xdr:rowOff>
                  </to>
                </anchor>
              </controlPr>
            </control>
          </mc:Choice>
        </mc:AlternateContent>
        <mc:AlternateContent xmlns:mc="http://schemas.openxmlformats.org/markup-compatibility/2006">
          <mc:Choice Requires="x14">
            <control shapeId="1167" r:id="rId22" name="Check Box 143">
              <controlPr defaultSize="0" autoFill="0" autoLine="0" autoPict="0">
                <anchor moveWithCells="1">
                  <from>
                    <xdr:col>20</xdr:col>
                    <xdr:colOff>490538</xdr:colOff>
                    <xdr:row>18</xdr:row>
                    <xdr:rowOff>266700</xdr:rowOff>
                  </from>
                  <to>
                    <xdr:col>23</xdr:col>
                    <xdr:colOff>671513</xdr:colOff>
                    <xdr:row>19</xdr:row>
                    <xdr:rowOff>80963</xdr:rowOff>
                  </to>
                </anchor>
              </controlPr>
            </control>
          </mc:Choice>
        </mc:AlternateContent>
        <mc:AlternateContent xmlns:mc="http://schemas.openxmlformats.org/markup-compatibility/2006">
          <mc:Choice Requires="x14">
            <control shapeId="1172" r:id="rId23" name="Group Box 148">
              <controlPr defaultSize="0" autoFill="0" autoPict="0">
                <anchor moveWithCells="1">
                  <from>
                    <xdr:col>20</xdr:col>
                    <xdr:colOff>404813</xdr:colOff>
                    <xdr:row>20</xdr:row>
                    <xdr:rowOff>400050</xdr:rowOff>
                  </from>
                  <to>
                    <xdr:col>24</xdr:col>
                    <xdr:colOff>0</xdr:colOff>
                    <xdr:row>25</xdr:row>
                    <xdr:rowOff>385763</xdr:rowOff>
                  </to>
                </anchor>
              </controlPr>
            </control>
          </mc:Choice>
        </mc:AlternateContent>
        <mc:AlternateContent xmlns:mc="http://schemas.openxmlformats.org/markup-compatibility/2006">
          <mc:Choice Requires="x14">
            <control shapeId="1175" r:id="rId24" name="Option Button 151">
              <controlPr defaultSize="0" autoFill="0" autoLine="0" autoPict="0">
                <anchor moveWithCells="1">
                  <from>
                    <xdr:col>20</xdr:col>
                    <xdr:colOff>471488</xdr:colOff>
                    <xdr:row>21</xdr:row>
                    <xdr:rowOff>95250</xdr:rowOff>
                  </from>
                  <to>
                    <xdr:col>21</xdr:col>
                    <xdr:colOff>671513</xdr:colOff>
                    <xdr:row>22</xdr:row>
                    <xdr:rowOff>95250</xdr:rowOff>
                  </to>
                </anchor>
              </controlPr>
            </control>
          </mc:Choice>
        </mc:AlternateContent>
        <mc:AlternateContent xmlns:mc="http://schemas.openxmlformats.org/markup-compatibility/2006">
          <mc:Choice Requires="x14">
            <control shapeId="1177" r:id="rId25" name="Option Button 153">
              <controlPr defaultSize="0" autoFill="0" autoLine="0" autoPict="0">
                <anchor moveWithCells="1">
                  <from>
                    <xdr:col>20</xdr:col>
                    <xdr:colOff>471488</xdr:colOff>
                    <xdr:row>21</xdr:row>
                    <xdr:rowOff>300038</xdr:rowOff>
                  </from>
                  <to>
                    <xdr:col>23</xdr:col>
                    <xdr:colOff>509588</xdr:colOff>
                    <xdr:row>22</xdr:row>
                    <xdr:rowOff>185738</xdr:rowOff>
                  </to>
                </anchor>
              </controlPr>
            </control>
          </mc:Choice>
        </mc:AlternateContent>
        <mc:AlternateContent xmlns:mc="http://schemas.openxmlformats.org/markup-compatibility/2006">
          <mc:Choice Requires="x14">
            <control shapeId="1178" r:id="rId26" name="Option Button 154">
              <controlPr defaultSize="0" autoFill="0" autoLine="0" autoPict="0">
                <anchor moveWithCells="1">
                  <from>
                    <xdr:col>20</xdr:col>
                    <xdr:colOff>471488</xdr:colOff>
                    <xdr:row>22</xdr:row>
                    <xdr:rowOff>171450</xdr:rowOff>
                  </from>
                  <to>
                    <xdr:col>23</xdr:col>
                    <xdr:colOff>509588</xdr:colOff>
                    <xdr:row>22</xdr:row>
                    <xdr:rowOff>300038</xdr:rowOff>
                  </to>
                </anchor>
              </controlPr>
            </control>
          </mc:Choice>
        </mc:AlternateContent>
        <mc:AlternateContent xmlns:mc="http://schemas.openxmlformats.org/markup-compatibility/2006">
          <mc:Choice Requires="x14">
            <control shapeId="1179" r:id="rId27" name="Group Box 155">
              <controlPr defaultSize="0" autoFill="0" autoPict="0">
                <anchor moveWithCells="1">
                  <from>
                    <xdr:col>20</xdr:col>
                    <xdr:colOff>404813</xdr:colOff>
                    <xdr:row>23</xdr:row>
                    <xdr:rowOff>19050</xdr:rowOff>
                  </from>
                  <to>
                    <xdr:col>24</xdr:col>
                    <xdr:colOff>0</xdr:colOff>
                    <xdr:row>24</xdr:row>
                    <xdr:rowOff>71438</xdr:rowOff>
                  </to>
                </anchor>
              </controlPr>
            </control>
          </mc:Choice>
        </mc:AlternateContent>
        <mc:AlternateContent xmlns:mc="http://schemas.openxmlformats.org/markup-compatibility/2006">
          <mc:Choice Requires="x14">
            <control shapeId="1189" r:id="rId28" name="Group Box 165">
              <controlPr defaultSize="0" autoFill="0" autoPict="0">
                <anchor moveWithCells="1">
                  <from>
                    <xdr:col>20</xdr:col>
                    <xdr:colOff>404813</xdr:colOff>
                    <xdr:row>25</xdr:row>
                    <xdr:rowOff>381000</xdr:rowOff>
                  </from>
                  <to>
                    <xdr:col>23</xdr:col>
                    <xdr:colOff>1347788</xdr:colOff>
                    <xdr:row>28</xdr:row>
                    <xdr:rowOff>147638</xdr:rowOff>
                  </to>
                </anchor>
              </controlPr>
            </control>
          </mc:Choice>
        </mc:AlternateContent>
        <mc:AlternateContent xmlns:mc="http://schemas.openxmlformats.org/markup-compatibility/2006">
          <mc:Choice Requires="x14">
            <control shapeId="1196" r:id="rId29" name="Option Button 172">
              <controlPr defaultSize="0" autoFill="0" autoLine="0" autoPict="0">
                <anchor moveWithCells="1">
                  <from>
                    <xdr:col>20</xdr:col>
                    <xdr:colOff>528638</xdr:colOff>
                    <xdr:row>27</xdr:row>
                    <xdr:rowOff>195263</xdr:rowOff>
                  </from>
                  <to>
                    <xdr:col>23</xdr:col>
                    <xdr:colOff>357188</xdr:colOff>
                    <xdr:row>28</xdr:row>
                    <xdr:rowOff>95250</xdr:rowOff>
                  </to>
                </anchor>
              </controlPr>
            </control>
          </mc:Choice>
        </mc:AlternateContent>
        <mc:AlternateContent xmlns:mc="http://schemas.openxmlformats.org/markup-compatibility/2006">
          <mc:Choice Requires="x14">
            <control shapeId="1197" r:id="rId30" name="Option Button 173">
              <controlPr defaultSize="0" autoFill="0" autoLine="0" autoPict="0">
                <anchor moveWithCells="1">
                  <from>
                    <xdr:col>20</xdr:col>
                    <xdr:colOff>471488</xdr:colOff>
                    <xdr:row>11</xdr:row>
                    <xdr:rowOff>304800</xdr:rowOff>
                  </from>
                  <to>
                    <xdr:col>21</xdr:col>
                    <xdr:colOff>342900</xdr:colOff>
                    <xdr:row>12</xdr:row>
                    <xdr:rowOff>14288</xdr:rowOff>
                  </to>
                </anchor>
              </controlPr>
            </control>
          </mc:Choice>
        </mc:AlternateContent>
        <mc:AlternateContent xmlns:mc="http://schemas.openxmlformats.org/markup-compatibility/2006">
          <mc:Choice Requires="x14">
            <control shapeId="1213" r:id="rId31" name="Group Box 189">
              <controlPr defaultSize="0" autoFill="0" autoPict="0">
                <anchor moveWithCells="1">
                  <from>
                    <xdr:col>19</xdr:col>
                    <xdr:colOff>528638</xdr:colOff>
                    <xdr:row>0</xdr:row>
                    <xdr:rowOff>190500</xdr:rowOff>
                  </from>
                  <to>
                    <xdr:col>24</xdr:col>
                    <xdr:colOff>133350</xdr:colOff>
                    <xdr:row>44</xdr:row>
                    <xdr:rowOff>61913</xdr:rowOff>
                  </to>
                </anchor>
              </controlPr>
            </control>
          </mc:Choice>
        </mc:AlternateContent>
        <mc:AlternateContent xmlns:mc="http://schemas.openxmlformats.org/markup-compatibility/2006">
          <mc:Choice Requires="x14">
            <control shapeId="1355" r:id="rId32" name="Check Box 331">
              <controlPr defaultSize="0" autoFill="0" autoLine="0" autoPict="0">
                <anchor moveWithCells="1">
                  <from>
                    <xdr:col>20</xdr:col>
                    <xdr:colOff>495300</xdr:colOff>
                    <xdr:row>24</xdr:row>
                    <xdr:rowOff>109538</xdr:rowOff>
                  </from>
                  <to>
                    <xdr:col>23</xdr:col>
                    <xdr:colOff>709613</xdr:colOff>
                    <xdr:row>24</xdr:row>
                    <xdr:rowOff>547688</xdr:rowOff>
                  </to>
                </anchor>
              </controlPr>
            </control>
          </mc:Choice>
        </mc:AlternateContent>
        <mc:AlternateContent xmlns:mc="http://schemas.openxmlformats.org/markup-compatibility/2006">
          <mc:Choice Requires="x14">
            <control shapeId="1356" r:id="rId33" name="Check Box 332">
              <controlPr defaultSize="0" autoFill="0" autoLine="0" autoPict="0">
                <anchor moveWithCells="1">
                  <from>
                    <xdr:col>20</xdr:col>
                    <xdr:colOff>495300</xdr:colOff>
                    <xdr:row>24</xdr:row>
                    <xdr:rowOff>457200</xdr:rowOff>
                  </from>
                  <to>
                    <xdr:col>23</xdr:col>
                    <xdr:colOff>709613</xdr:colOff>
                    <xdr:row>25</xdr:row>
                    <xdr:rowOff>300038</xdr:rowOff>
                  </to>
                </anchor>
              </controlPr>
            </control>
          </mc:Choice>
        </mc:AlternateContent>
        <mc:AlternateContent xmlns:mc="http://schemas.openxmlformats.org/markup-compatibility/2006">
          <mc:Choice Requires="x14">
            <control shapeId="1368" r:id="rId34" name="Option Button 344">
              <controlPr defaultSize="0" autoFill="0" autoLine="0" autoPict="0">
                <anchor moveWithCells="1">
                  <from>
                    <xdr:col>21</xdr:col>
                    <xdr:colOff>457200</xdr:colOff>
                    <xdr:row>28</xdr:row>
                    <xdr:rowOff>571500</xdr:rowOff>
                  </from>
                  <to>
                    <xdr:col>22</xdr:col>
                    <xdr:colOff>585788</xdr:colOff>
                    <xdr:row>29</xdr:row>
                    <xdr:rowOff>414338</xdr:rowOff>
                  </to>
                </anchor>
              </controlPr>
            </control>
          </mc:Choice>
        </mc:AlternateContent>
        <mc:AlternateContent xmlns:mc="http://schemas.openxmlformats.org/markup-compatibility/2006">
          <mc:Choice Requires="x14">
            <control shapeId="1369" r:id="rId35" name="Option Button 345">
              <controlPr defaultSize="0" autoFill="0" autoLine="0" autoPict="0">
                <anchor moveWithCells="1">
                  <from>
                    <xdr:col>22</xdr:col>
                    <xdr:colOff>471488</xdr:colOff>
                    <xdr:row>28</xdr:row>
                    <xdr:rowOff>604838</xdr:rowOff>
                  </from>
                  <to>
                    <xdr:col>23</xdr:col>
                    <xdr:colOff>652463</xdr:colOff>
                    <xdr:row>29</xdr:row>
                    <xdr:rowOff>414338</xdr:rowOff>
                  </to>
                </anchor>
              </controlPr>
            </control>
          </mc:Choice>
        </mc:AlternateContent>
        <mc:AlternateContent xmlns:mc="http://schemas.openxmlformats.org/markup-compatibility/2006">
          <mc:Choice Requires="x14">
            <control shapeId="1370" r:id="rId36" name="Drop Down 346">
              <controlPr defaultSize="0" autoLine="0" autoPict="0">
                <anchor moveWithCells="1">
                  <from>
                    <xdr:col>22</xdr:col>
                    <xdr:colOff>133350</xdr:colOff>
                    <xdr:row>32</xdr:row>
                    <xdr:rowOff>23813</xdr:rowOff>
                  </from>
                  <to>
                    <xdr:col>23</xdr:col>
                    <xdr:colOff>376238</xdr:colOff>
                    <xdr:row>32</xdr:row>
                    <xdr:rowOff>190500</xdr:rowOff>
                  </to>
                </anchor>
              </controlPr>
            </control>
          </mc:Choice>
        </mc:AlternateContent>
        <mc:AlternateContent xmlns:mc="http://schemas.openxmlformats.org/markup-compatibility/2006">
          <mc:Choice Requires="x14">
            <control shapeId="1376" r:id="rId37" name="Check Box 352">
              <controlPr defaultSize="0" autoFill="0" autoLine="0" autoPict="0">
                <anchor moveWithCells="1">
                  <from>
                    <xdr:col>20</xdr:col>
                    <xdr:colOff>528638</xdr:colOff>
                    <xdr:row>30</xdr:row>
                    <xdr:rowOff>223838</xdr:rowOff>
                  </from>
                  <to>
                    <xdr:col>23</xdr:col>
                    <xdr:colOff>471488</xdr:colOff>
                    <xdr:row>31</xdr:row>
                    <xdr:rowOff>147638</xdr:rowOff>
                  </to>
                </anchor>
              </controlPr>
            </control>
          </mc:Choice>
        </mc:AlternateContent>
        <mc:AlternateContent xmlns:mc="http://schemas.openxmlformats.org/markup-compatibility/2006">
          <mc:Choice Requires="x14">
            <control shapeId="27980" r:id="rId38" name="Group Box 3404">
              <controlPr defaultSize="0" autoFill="0" autoPict="0">
                <anchor moveWithCells="1">
                  <from>
                    <xdr:col>20</xdr:col>
                    <xdr:colOff>376238</xdr:colOff>
                    <xdr:row>12</xdr:row>
                    <xdr:rowOff>304800</xdr:rowOff>
                  </from>
                  <to>
                    <xdr:col>24</xdr:col>
                    <xdr:colOff>0</xdr:colOff>
                    <xdr:row>14</xdr:row>
                    <xdr:rowOff>304800</xdr:rowOff>
                  </to>
                </anchor>
              </controlPr>
            </control>
          </mc:Choice>
        </mc:AlternateContent>
        <mc:AlternateContent xmlns:mc="http://schemas.openxmlformats.org/markup-compatibility/2006">
          <mc:Choice Requires="x14">
            <control shapeId="27981" r:id="rId39" name="Option Button 3405">
              <controlPr defaultSize="0" autoFill="0" autoLine="0" autoPict="0">
                <anchor moveWithCells="1">
                  <from>
                    <xdr:col>20</xdr:col>
                    <xdr:colOff>442913</xdr:colOff>
                    <xdr:row>7</xdr:row>
                    <xdr:rowOff>42863</xdr:rowOff>
                  </from>
                  <to>
                    <xdr:col>21</xdr:col>
                    <xdr:colOff>1100138</xdr:colOff>
                    <xdr:row>8</xdr:row>
                    <xdr:rowOff>338138</xdr:rowOff>
                  </to>
                </anchor>
              </controlPr>
            </control>
          </mc:Choice>
        </mc:AlternateContent>
        <mc:AlternateContent xmlns:mc="http://schemas.openxmlformats.org/markup-compatibility/2006">
          <mc:Choice Requires="x14">
            <control shapeId="27982" r:id="rId40" name="Option Button 3406">
              <controlPr defaultSize="0" autoFill="0" autoLine="0" autoPict="0">
                <anchor moveWithCells="1">
                  <from>
                    <xdr:col>20</xdr:col>
                    <xdr:colOff>442913</xdr:colOff>
                    <xdr:row>8</xdr:row>
                    <xdr:rowOff>190500</xdr:rowOff>
                  </from>
                  <to>
                    <xdr:col>23</xdr:col>
                    <xdr:colOff>90488</xdr:colOff>
                    <xdr:row>9</xdr:row>
                    <xdr:rowOff>280988</xdr:rowOff>
                  </to>
                </anchor>
              </controlPr>
            </control>
          </mc:Choice>
        </mc:AlternateContent>
        <mc:AlternateContent xmlns:mc="http://schemas.openxmlformats.org/markup-compatibility/2006">
          <mc:Choice Requires="x14">
            <control shapeId="28017" r:id="rId41" name="Group Box 3441">
              <controlPr defaultSize="0" autoFill="0" autoPict="0">
                <anchor moveWithCells="1">
                  <from>
                    <xdr:col>20</xdr:col>
                    <xdr:colOff>381000</xdr:colOff>
                    <xdr:row>16</xdr:row>
                    <xdr:rowOff>185738</xdr:rowOff>
                  </from>
                  <to>
                    <xdr:col>24</xdr:col>
                    <xdr:colOff>0</xdr:colOff>
                    <xdr:row>16</xdr:row>
                    <xdr:rowOff>300038</xdr:rowOff>
                  </to>
                </anchor>
              </controlPr>
            </control>
          </mc:Choice>
        </mc:AlternateContent>
        <mc:AlternateContent xmlns:mc="http://schemas.openxmlformats.org/markup-compatibility/2006">
          <mc:Choice Requires="x14">
            <control shapeId="28019" r:id="rId42" name="Option Button 3443">
              <controlPr defaultSize="0" autoFill="0" autoLine="0" autoPict="0">
                <anchor moveWithCells="1">
                  <from>
                    <xdr:col>20</xdr:col>
                    <xdr:colOff>442913</xdr:colOff>
                    <xdr:row>13</xdr:row>
                    <xdr:rowOff>52388</xdr:rowOff>
                  </from>
                  <to>
                    <xdr:col>23</xdr:col>
                    <xdr:colOff>190500</xdr:colOff>
                    <xdr:row>13</xdr:row>
                    <xdr:rowOff>457200</xdr:rowOff>
                  </to>
                </anchor>
              </controlPr>
            </control>
          </mc:Choice>
        </mc:AlternateContent>
        <mc:AlternateContent xmlns:mc="http://schemas.openxmlformats.org/markup-compatibility/2006">
          <mc:Choice Requires="x14">
            <control shapeId="28020" r:id="rId43" name="Option Button 3444">
              <controlPr defaultSize="0" autoFill="0" autoLine="0" autoPict="0">
                <anchor moveWithCells="1">
                  <from>
                    <xdr:col>20</xdr:col>
                    <xdr:colOff>457200</xdr:colOff>
                    <xdr:row>13</xdr:row>
                    <xdr:rowOff>247650</xdr:rowOff>
                  </from>
                  <to>
                    <xdr:col>22</xdr:col>
                    <xdr:colOff>661988</xdr:colOff>
                    <xdr:row>14</xdr:row>
                    <xdr:rowOff>128588</xdr:rowOff>
                  </to>
                </anchor>
              </controlPr>
            </control>
          </mc:Choice>
        </mc:AlternateContent>
        <mc:AlternateContent xmlns:mc="http://schemas.openxmlformats.org/markup-compatibility/2006">
          <mc:Choice Requires="x14">
            <control shapeId="28021" r:id="rId44" name="Option Button 3445">
              <controlPr defaultSize="0" autoFill="0" autoLine="0" autoPict="0">
                <anchor moveWithCells="1">
                  <from>
                    <xdr:col>20</xdr:col>
                    <xdr:colOff>457200</xdr:colOff>
                    <xdr:row>15</xdr:row>
                    <xdr:rowOff>0</xdr:rowOff>
                  </from>
                  <to>
                    <xdr:col>23</xdr:col>
                    <xdr:colOff>509588</xdr:colOff>
                    <xdr:row>15</xdr:row>
                    <xdr:rowOff>242888</xdr:rowOff>
                  </to>
                </anchor>
              </controlPr>
            </control>
          </mc:Choice>
        </mc:AlternateContent>
        <mc:AlternateContent xmlns:mc="http://schemas.openxmlformats.org/markup-compatibility/2006">
          <mc:Choice Requires="x14">
            <control shapeId="28022" r:id="rId45" name="Option Button 3446">
              <controlPr defaultSize="0" autoFill="0" autoLine="0" autoPict="0">
                <anchor moveWithCells="1">
                  <from>
                    <xdr:col>20</xdr:col>
                    <xdr:colOff>457200</xdr:colOff>
                    <xdr:row>15</xdr:row>
                    <xdr:rowOff>157163</xdr:rowOff>
                  </from>
                  <to>
                    <xdr:col>23</xdr:col>
                    <xdr:colOff>204788</xdr:colOff>
                    <xdr:row>16</xdr:row>
                    <xdr:rowOff>61913</xdr:rowOff>
                  </to>
                </anchor>
              </controlPr>
            </control>
          </mc:Choice>
        </mc:AlternateContent>
        <mc:AlternateContent xmlns:mc="http://schemas.openxmlformats.org/markup-compatibility/2006">
          <mc:Choice Requires="x14">
            <control shapeId="28023" r:id="rId46" name="Option Button 3447">
              <controlPr defaultSize="0" autoFill="0" autoLine="0" autoPict="0">
                <anchor moveWithCells="1">
                  <from>
                    <xdr:col>20</xdr:col>
                    <xdr:colOff>457200</xdr:colOff>
                    <xdr:row>15</xdr:row>
                    <xdr:rowOff>395288</xdr:rowOff>
                  </from>
                  <to>
                    <xdr:col>23</xdr:col>
                    <xdr:colOff>214313</xdr:colOff>
                    <xdr:row>16</xdr:row>
                    <xdr:rowOff>190500</xdr:rowOff>
                  </to>
                </anchor>
              </controlPr>
            </control>
          </mc:Choice>
        </mc:AlternateContent>
        <mc:AlternateContent xmlns:mc="http://schemas.openxmlformats.org/markup-compatibility/2006">
          <mc:Choice Requires="x14">
            <control shapeId="28025" r:id="rId47" name="Group Box 3449">
              <controlPr defaultSize="0" autoFill="0" autoPict="0">
                <anchor moveWithCells="1">
                  <from>
                    <xdr:col>20</xdr:col>
                    <xdr:colOff>381000</xdr:colOff>
                    <xdr:row>14</xdr:row>
                    <xdr:rowOff>304800</xdr:rowOff>
                  </from>
                  <to>
                    <xdr:col>24</xdr:col>
                    <xdr:colOff>0</xdr:colOff>
                    <xdr:row>16</xdr:row>
                    <xdr:rowOff>190500</xdr:rowOff>
                  </to>
                </anchor>
              </controlPr>
            </control>
          </mc:Choice>
        </mc:AlternateContent>
        <mc:AlternateContent xmlns:mc="http://schemas.openxmlformats.org/markup-compatibility/2006">
          <mc:Choice Requires="x14">
            <control shapeId="28243" r:id="rId48" name="Option Button 3667">
              <controlPr defaultSize="0" autoFill="0" autoLine="0" autoPict="0">
                <anchor moveWithCells="1">
                  <from>
                    <xdr:col>21</xdr:col>
                    <xdr:colOff>785813</xdr:colOff>
                    <xdr:row>11</xdr:row>
                    <xdr:rowOff>71438</xdr:rowOff>
                  </from>
                  <to>
                    <xdr:col>23</xdr:col>
                    <xdr:colOff>280988</xdr:colOff>
                    <xdr:row>11</xdr:row>
                    <xdr:rowOff>338138</xdr:rowOff>
                  </to>
                </anchor>
              </controlPr>
            </control>
          </mc:Choice>
        </mc:AlternateContent>
        <mc:AlternateContent xmlns:mc="http://schemas.openxmlformats.org/markup-compatibility/2006">
          <mc:Choice Requires="x14">
            <control shapeId="28413" r:id="rId49" name="Check Box 3837">
              <controlPr defaultSize="0" autoFill="0" autoLine="0" autoPict="0">
                <anchor moveWithCells="1">
                  <from>
                    <xdr:col>20</xdr:col>
                    <xdr:colOff>481013</xdr:colOff>
                    <xdr:row>18</xdr:row>
                    <xdr:rowOff>61913</xdr:rowOff>
                  </from>
                  <to>
                    <xdr:col>23</xdr:col>
                    <xdr:colOff>652463</xdr:colOff>
                    <xdr:row>18</xdr:row>
                    <xdr:rowOff>266700</xdr:rowOff>
                  </to>
                </anchor>
              </controlPr>
            </control>
          </mc:Choice>
        </mc:AlternateContent>
        <mc:AlternateContent xmlns:mc="http://schemas.openxmlformats.org/markup-compatibility/2006">
          <mc:Choice Requires="x14">
            <control shapeId="33323" r:id="rId50" name="Option Button 4651">
              <controlPr defaultSize="0" autoFill="0" autoLine="0" autoPict="0">
                <anchor moveWithCells="1">
                  <from>
                    <xdr:col>20</xdr:col>
                    <xdr:colOff>457200</xdr:colOff>
                    <xdr:row>14</xdr:row>
                    <xdr:rowOff>71438</xdr:rowOff>
                  </from>
                  <to>
                    <xdr:col>23</xdr:col>
                    <xdr:colOff>0</xdr:colOff>
                    <xdr:row>14</xdr:row>
                    <xdr:rowOff>290513</xdr:rowOff>
                  </to>
                </anchor>
              </controlPr>
            </control>
          </mc:Choice>
        </mc:AlternateContent>
        <mc:AlternateContent xmlns:mc="http://schemas.openxmlformats.org/markup-compatibility/2006">
          <mc:Choice Requires="x14">
            <control shapeId="33382" r:id="rId51" name="Drop Down 4710">
              <controlPr defaultSize="0" autoLine="0" autoPict="0">
                <anchor moveWithCells="1">
                  <from>
                    <xdr:col>21</xdr:col>
                    <xdr:colOff>338138</xdr:colOff>
                    <xdr:row>19</xdr:row>
                    <xdr:rowOff>109538</xdr:rowOff>
                  </from>
                  <to>
                    <xdr:col>22</xdr:col>
                    <xdr:colOff>0</xdr:colOff>
                    <xdr:row>19</xdr:row>
                    <xdr:rowOff>261938</xdr:rowOff>
                  </to>
                </anchor>
              </controlPr>
            </control>
          </mc:Choice>
        </mc:AlternateContent>
        <mc:AlternateContent xmlns:mc="http://schemas.openxmlformats.org/markup-compatibility/2006">
          <mc:Choice Requires="x14">
            <control shapeId="38320" r:id="rId52" name="Option Button 5552">
              <controlPr defaultSize="0" autoFill="0" autoLine="0" autoPict="0">
                <anchor moveWithCells="1">
                  <from>
                    <xdr:col>21</xdr:col>
                    <xdr:colOff>176213</xdr:colOff>
                    <xdr:row>20</xdr:row>
                    <xdr:rowOff>133350</xdr:rowOff>
                  </from>
                  <to>
                    <xdr:col>22</xdr:col>
                    <xdr:colOff>133350</xdr:colOff>
                    <xdr:row>20</xdr:row>
                    <xdr:rowOff>309563</xdr:rowOff>
                  </to>
                </anchor>
              </controlPr>
            </control>
          </mc:Choice>
        </mc:AlternateContent>
        <mc:AlternateContent xmlns:mc="http://schemas.openxmlformats.org/markup-compatibility/2006">
          <mc:Choice Requires="x14">
            <control shapeId="38321" r:id="rId53" name="Option Button 5553">
              <controlPr defaultSize="0" autoFill="0" autoLine="0" autoPict="0">
                <anchor moveWithCells="1">
                  <from>
                    <xdr:col>22</xdr:col>
                    <xdr:colOff>90488</xdr:colOff>
                    <xdr:row>20</xdr:row>
                    <xdr:rowOff>138113</xdr:rowOff>
                  </from>
                  <to>
                    <xdr:col>23</xdr:col>
                    <xdr:colOff>204788</xdr:colOff>
                    <xdr:row>20</xdr:row>
                    <xdr:rowOff>319088</xdr:rowOff>
                  </to>
                </anchor>
              </controlPr>
            </control>
          </mc:Choice>
        </mc:AlternateContent>
        <mc:AlternateContent xmlns:mc="http://schemas.openxmlformats.org/markup-compatibility/2006">
          <mc:Choice Requires="x14">
            <control shapeId="38384" r:id="rId54" name="Option Button 5616">
              <controlPr defaultSize="0" autoFill="0" autoLine="0" autoPict="0">
                <anchor moveWithCells="1">
                  <from>
                    <xdr:col>20</xdr:col>
                    <xdr:colOff>528638</xdr:colOff>
                    <xdr:row>27</xdr:row>
                    <xdr:rowOff>33338</xdr:rowOff>
                  </from>
                  <to>
                    <xdr:col>23</xdr:col>
                    <xdr:colOff>385763</xdr:colOff>
                    <xdr:row>27</xdr:row>
                    <xdr:rowOff>233363</xdr:rowOff>
                  </to>
                </anchor>
              </controlPr>
            </control>
          </mc:Choice>
        </mc:AlternateContent>
        <mc:AlternateContent xmlns:mc="http://schemas.openxmlformats.org/markup-compatibility/2006">
          <mc:Choice Requires="x14">
            <control shapeId="38386" r:id="rId55" name="Option Button 5618">
              <controlPr defaultSize="0" autoFill="0" autoLine="0" autoPict="0">
                <anchor moveWithCells="1">
                  <from>
                    <xdr:col>20</xdr:col>
                    <xdr:colOff>514350</xdr:colOff>
                    <xdr:row>26</xdr:row>
                    <xdr:rowOff>166688</xdr:rowOff>
                  </from>
                  <to>
                    <xdr:col>23</xdr:col>
                    <xdr:colOff>176213</xdr:colOff>
                    <xdr:row>27</xdr:row>
                    <xdr:rowOff>71438</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indexed="50"/>
  </sheetPr>
  <dimension ref="A1:AT45"/>
  <sheetViews>
    <sheetView zoomScaleNormal="100" workbookViewId="0">
      <selection activeCell="O29" sqref="O29:O30"/>
    </sheetView>
  </sheetViews>
  <sheetFormatPr defaultColWidth="3.19921875" defaultRowHeight="12.75" x14ac:dyDescent="0.35"/>
  <cols>
    <col min="1" max="28" width="3.19921875" style="45" customWidth="1"/>
    <col min="29" max="29" width="2.53125" style="45" customWidth="1"/>
    <col min="30" max="16384" width="3.19921875" style="45"/>
  </cols>
  <sheetData>
    <row r="1" spans="1:39" s="1" customFormat="1" ht="18.75" customHeight="1" x14ac:dyDescent="0.6">
      <c r="E1" s="440"/>
      <c r="F1" s="440"/>
      <c r="G1" s="440"/>
      <c r="H1" s="440"/>
      <c r="I1" s="440"/>
      <c r="J1" s="440"/>
      <c r="K1" s="440"/>
      <c r="L1" s="440"/>
      <c r="M1" s="440"/>
      <c r="N1" s="440"/>
      <c r="O1" s="440"/>
      <c r="P1" s="26"/>
      <c r="R1" s="27"/>
    </row>
    <row r="2" spans="1:39" s="1" customFormat="1" ht="12.75" customHeight="1" x14ac:dyDescent="0.6">
      <c r="G2" s="29"/>
      <c r="H2" s="29"/>
      <c r="J2" s="25"/>
      <c r="K2" s="25"/>
      <c r="L2" s="25"/>
      <c r="M2" s="25"/>
      <c r="N2" s="25"/>
      <c r="O2" s="25"/>
      <c r="P2" s="26"/>
      <c r="R2" s="27"/>
    </row>
    <row r="3" spans="1:39" s="1" customFormat="1" ht="12.75" customHeight="1" x14ac:dyDescent="0.6">
      <c r="A3" s="33" t="s">
        <v>0</v>
      </c>
      <c r="B3" s="29"/>
      <c r="G3" s="29"/>
      <c r="J3" s="31"/>
      <c r="K3" s="31"/>
      <c r="L3" s="31"/>
      <c r="M3" s="31"/>
      <c r="N3" s="31"/>
      <c r="O3" s="31"/>
      <c r="P3" s="32"/>
      <c r="Q3" s="34"/>
      <c r="R3" s="27"/>
    </row>
    <row r="4" spans="1:39" s="1" customFormat="1" ht="12.75" customHeight="1" x14ac:dyDescent="0.6">
      <c r="A4" s="29" t="s">
        <v>1</v>
      </c>
      <c r="B4" s="29"/>
      <c r="G4" s="29"/>
      <c r="J4" s="31"/>
      <c r="K4" s="31"/>
      <c r="L4" s="31"/>
      <c r="M4" s="31"/>
      <c r="N4" s="31"/>
      <c r="O4" s="31"/>
      <c r="P4" s="32"/>
      <c r="Q4" s="27"/>
      <c r="R4" s="27"/>
    </row>
    <row r="5" spans="1:39" s="1" customFormat="1" ht="12.75" customHeight="1" x14ac:dyDescent="0.6">
      <c r="A5" s="100" t="s">
        <v>47</v>
      </c>
      <c r="B5" s="29"/>
      <c r="G5" s="29"/>
      <c r="H5" s="29"/>
      <c r="J5" s="31"/>
      <c r="K5" s="31"/>
      <c r="L5" s="31"/>
      <c r="M5" s="31"/>
      <c r="N5" s="31"/>
      <c r="O5" s="31"/>
      <c r="P5" s="32"/>
      <c r="Q5" s="27"/>
      <c r="R5" s="27"/>
    </row>
    <row r="6" spans="1:39" s="1" customFormat="1" ht="9" customHeight="1" x14ac:dyDescent="0.6">
      <c r="A6" s="100" t="s">
        <v>48</v>
      </c>
      <c r="B6" s="29"/>
      <c r="F6" s="29"/>
      <c r="G6" s="29"/>
      <c r="H6" s="29"/>
      <c r="J6" s="31"/>
      <c r="K6" s="31"/>
      <c r="L6" s="31"/>
      <c r="M6" s="31"/>
      <c r="N6" s="31"/>
      <c r="O6" s="31"/>
      <c r="P6" s="32"/>
      <c r="Q6" s="27"/>
      <c r="R6" s="27"/>
    </row>
    <row r="7" spans="1:39" s="1" customFormat="1" ht="20.25" customHeight="1" x14ac:dyDescent="0.4">
      <c r="A7" s="438" t="s">
        <v>54</v>
      </c>
      <c r="B7" s="438"/>
      <c r="C7" s="438"/>
      <c r="D7" s="438"/>
      <c r="E7" s="438"/>
      <c r="F7" s="438"/>
      <c r="G7" s="438"/>
      <c r="H7" s="438"/>
      <c r="I7" s="438"/>
      <c r="J7" s="438"/>
      <c r="K7" s="438"/>
      <c r="L7" s="438"/>
      <c r="M7" s="438"/>
      <c r="N7" s="438"/>
      <c r="O7" s="438"/>
      <c r="P7" s="438"/>
      <c r="Q7" s="438"/>
      <c r="R7" s="438"/>
      <c r="S7" s="438"/>
      <c r="T7" s="438"/>
      <c r="U7" s="438"/>
      <c r="V7" s="438"/>
      <c r="W7" s="438"/>
      <c r="X7" s="438"/>
      <c r="Y7" s="438"/>
      <c r="Z7" s="438"/>
      <c r="AA7" s="438"/>
      <c r="AB7" s="438"/>
      <c r="AC7" s="438"/>
      <c r="AD7" s="438"/>
      <c r="AE7" s="438"/>
      <c r="AF7" s="438"/>
      <c r="AG7" s="438"/>
      <c r="AH7" s="438"/>
      <c r="AI7" s="438"/>
      <c r="AJ7" s="438"/>
      <c r="AK7" s="438"/>
      <c r="AL7" s="438"/>
      <c r="AM7" s="438"/>
    </row>
    <row r="8" spans="1:39" ht="13.15" x14ac:dyDescent="0.4">
      <c r="A8" s="52"/>
      <c r="B8" s="52"/>
      <c r="C8" s="52"/>
      <c r="D8" s="52"/>
      <c r="E8" s="52"/>
      <c r="F8" s="52"/>
      <c r="G8" s="52"/>
      <c r="H8" s="52"/>
      <c r="I8" s="52"/>
      <c r="J8" s="52"/>
      <c r="K8" s="52"/>
      <c r="L8" s="52"/>
      <c r="M8" s="52"/>
      <c r="N8" s="52"/>
      <c r="O8" s="52"/>
      <c r="P8" s="52"/>
      <c r="Q8" s="52"/>
      <c r="R8" s="52"/>
      <c r="S8" s="52"/>
      <c r="T8" s="52"/>
      <c r="U8" s="52"/>
      <c r="V8" s="52"/>
      <c r="W8" s="52"/>
      <c r="X8" s="52"/>
      <c r="Y8" s="52"/>
      <c r="Z8" s="52"/>
      <c r="AA8" s="52"/>
      <c r="AB8" s="52"/>
      <c r="AC8" s="52"/>
      <c r="AD8" s="52"/>
      <c r="AE8" s="52"/>
      <c r="AF8" s="52"/>
      <c r="AG8" s="52"/>
      <c r="AH8" s="52"/>
      <c r="AI8" s="52"/>
      <c r="AJ8" s="52"/>
      <c r="AK8" s="52"/>
      <c r="AL8" s="52"/>
      <c r="AM8" s="52"/>
    </row>
    <row r="10" spans="1:39" ht="13.15" x14ac:dyDescent="0.4">
      <c r="A10" s="444" t="s">
        <v>59</v>
      </c>
      <c r="B10" s="444"/>
      <c r="C10" s="444"/>
      <c r="D10" s="444"/>
      <c r="E10" s="444"/>
    </row>
    <row r="11" spans="1:39" ht="13.15" x14ac:dyDescent="0.4">
      <c r="A11" s="51"/>
    </row>
    <row r="12" spans="1:39" x14ac:dyDescent="0.35">
      <c r="B12" s="435" t="str">
        <f>CONCATENATE(Munka1!C115," x ",Munka1!C116," mm-es szekcionált garázskapu")</f>
        <v>5500 x 2125 mm-es szekcionált garázskapu</v>
      </c>
      <c r="C12" s="435"/>
      <c r="D12" s="435"/>
      <c r="E12" s="435"/>
      <c r="F12" s="435"/>
      <c r="G12" s="435"/>
      <c r="H12" s="435"/>
      <c r="I12" s="435"/>
      <c r="J12" s="435"/>
      <c r="K12" s="435"/>
      <c r="L12" s="435"/>
      <c r="M12" s="435"/>
      <c r="N12" s="435"/>
      <c r="O12" s="435"/>
      <c r="P12" s="435"/>
      <c r="Q12" s="435"/>
      <c r="R12" s="435"/>
      <c r="S12" s="435"/>
      <c r="T12" s="435"/>
      <c r="U12" s="435"/>
      <c r="V12" s="435"/>
    </row>
    <row r="13" spans="1:39" x14ac:dyDescent="0.35">
      <c r="B13" s="435" t="str">
        <f>CONCATENATE(Munka1!C117,"rugós vasalattal")</f>
        <v>torziórugós vasalattal</v>
      </c>
      <c r="C13" s="435"/>
      <c r="D13" s="435"/>
      <c r="E13" s="435"/>
      <c r="F13" s="435"/>
      <c r="G13" s="435"/>
      <c r="H13" s="435"/>
      <c r="I13" s="435"/>
      <c r="J13" s="435"/>
      <c r="K13" s="435"/>
      <c r="L13" s="435"/>
      <c r="M13" s="435"/>
      <c r="N13" s="435"/>
      <c r="O13" s="435"/>
      <c r="P13" s="435"/>
      <c r="Q13" s="435"/>
      <c r="R13" s="435"/>
      <c r="S13" s="435"/>
      <c r="T13" s="435"/>
      <c r="U13" s="435"/>
      <c r="V13" s="435"/>
    </row>
    <row r="14" spans="1:39" x14ac:dyDescent="0.35">
      <c r="B14" s="435" t="str">
        <f>IF(Munka1!C123=TRUE,"motorral","kézi működtetésű")</f>
        <v>motorral</v>
      </c>
      <c r="C14" s="435"/>
      <c r="D14" s="435"/>
      <c r="E14" s="435"/>
      <c r="F14" s="435"/>
      <c r="G14" s="435"/>
      <c r="H14" s="435"/>
      <c r="I14" s="435"/>
      <c r="J14" s="435"/>
      <c r="K14" s="435"/>
      <c r="L14" s="435"/>
      <c r="M14" s="435"/>
      <c r="N14" s="435"/>
      <c r="O14" s="435"/>
      <c r="P14" s="435"/>
      <c r="Q14" s="435"/>
      <c r="R14" s="435"/>
      <c r="S14" s="435"/>
      <c r="T14" s="435"/>
      <c r="U14" s="435"/>
      <c r="V14" s="435"/>
    </row>
    <row r="15" spans="1:39" x14ac:dyDescent="0.35">
      <c r="B15" s="443" t="str">
        <f>IF(B14="kézi működtetésű","",CONCATENATE(Munka1!C127," mm-es sínbenyúlással"))</f>
        <v>3200 mm-es sínbenyúlással</v>
      </c>
      <c r="C15" s="443"/>
      <c r="D15" s="443"/>
      <c r="E15" s="443"/>
      <c r="F15" s="443"/>
      <c r="G15" s="443"/>
      <c r="H15" s="443"/>
      <c r="I15" s="443"/>
      <c r="J15" s="443"/>
      <c r="K15" s="443"/>
      <c r="L15" s="443"/>
      <c r="M15" s="443"/>
      <c r="N15" s="443"/>
      <c r="O15" s="443"/>
      <c r="P15" s="443"/>
      <c r="Q15" s="443"/>
      <c r="R15" s="443"/>
      <c r="S15" s="443"/>
      <c r="T15" s="443"/>
      <c r="U15" s="443"/>
      <c r="V15" s="443"/>
    </row>
    <row r="16" spans="1:39" ht="6.75" customHeight="1" x14ac:dyDescent="0.35"/>
    <row r="20" spans="4:38" x14ac:dyDescent="0.35">
      <c r="AB20" s="49"/>
      <c r="AC20" s="49"/>
      <c r="AD20" s="49"/>
      <c r="AE20" s="49"/>
      <c r="AF20" s="49"/>
      <c r="AG20" s="49"/>
      <c r="AH20" s="49"/>
      <c r="AI20" s="49"/>
      <c r="AJ20" s="49"/>
      <c r="AK20" s="49"/>
      <c r="AL20" s="49"/>
    </row>
    <row r="21" spans="4:38" x14ac:dyDescent="0.35">
      <c r="AB21" s="49"/>
      <c r="AH21" s="439" t="str">
        <f>IF(AG27="","kézi működtetésű","Motor")</f>
        <v>Motor</v>
      </c>
      <c r="AI21" s="439"/>
      <c r="AJ21" s="439"/>
      <c r="AK21" s="439"/>
      <c r="AL21" s="439"/>
    </row>
    <row r="22" spans="4:38" ht="4.5" customHeight="1" x14ac:dyDescent="0.35">
      <c r="AB22" s="49"/>
      <c r="AH22" s="439"/>
      <c r="AI22" s="439"/>
      <c r="AJ22" s="439"/>
      <c r="AK22" s="439"/>
      <c r="AL22" s="439"/>
    </row>
    <row r="23" spans="4:38" ht="4.5" customHeight="1" x14ac:dyDescent="0.35">
      <c r="AB23" s="49"/>
      <c r="AC23" s="50"/>
      <c r="AD23" s="50"/>
      <c r="AE23" s="50"/>
      <c r="AF23" s="50"/>
      <c r="AG23" s="50"/>
      <c r="AH23" s="50"/>
      <c r="AI23" s="50"/>
      <c r="AJ23" s="50"/>
      <c r="AK23" s="50"/>
    </row>
    <row r="24" spans="4:38" ht="6.75" customHeight="1" x14ac:dyDescent="0.35">
      <c r="G24" s="50"/>
      <c r="H24" s="50"/>
      <c r="I24" s="50"/>
      <c r="J24" s="50"/>
      <c r="K24" s="50"/>
      <c r="L24" s="50"/>
      <c r="M24" s="50"/>
      <c r="N24" s="50"/>
      <c r="O24" s="50"/>
      <c r="P24" s="50"/>
      <c r="Q24" s="50"/>
      <c r="R24" s="50"/>
      <c r="S24" s="50"/>
      <c r="AB24" s="49"/>
      <c r="AC24" s="50"/>
      <c r="AD24" s="434" t="s">
        <v>53</v>
      </c>
      <c r="AE24" s="434"/>
      <c r="AF24" s="434"/>
      <c r="AG24" s="434"/>
      <c r="AH24" s="50"/>
      <c r="AK24" s="50"/>
    </row>
    <row r="25" spans="4:38" ht="6.75" customHeight="1" x14ac:dyDescent="0.35">
      <c r="G25" s="50"/>
      <c r="H25" s="50"/>
      <c r="I25" s="50"/>
      <c r="J25" s="50"/>
      <c r="K25" s="50"/>
      <c r="L25" s="50"/>
      <c r="M25" s="50"/>
      <c r="N25" s="50"/>
      <c r="O25" s="50"/>
      <c r="P25" s="50"/>
      <c r="Q25" s="50"/>
      <c r="R25" s="50"/>
      <c r="S25" s="50"/>
      <c r="AB25" s="49"/>
      <c r="AC25" s="50"/>
      <c r="AD25" s="434"/>
      <c r="AE25" s="434"/>
      <c r="AF25" s="434"/>
      <c r="AG25" s="434"/>
      <c r="AH25" s="50"/>
    </row>
    <row r="26" spans="4:38" x14ac:dyDescent="0.35">
      <c r="G26" s="50"/>
      <c r="S26" s="50"/>
      <c r="AC26" s="50"/>
    </row>
    <row r="27" spans="4:38" x14ac:dyDescent="0.35">
      <c r="G27" s="50"/>
      <c r="O27" s="437" t="s">
        <v>51</v>
      </c>
      <c r="S27" s="50"/>
      <c r="AC27" s="50"/>
      <c r="AF27" s="47" t="str">
        <f>IF(AG27="","","motorral:")</f>
        <v>motorral:</v>
      </c>
      <c r="AG27" s="435">
        <f>IF(Munka1!C123=TRUE,Munka1!C127,"")</f>
        <v>3200</v>
      </c>
      <c r="AH27" s="435"/>
      <c r="AI27" s="45" t="str">
        <f>IF(B14="kézi működtetésű","","mm")</f>
        <v>mm</v>
      </c>
    </row>
    <row r="28" spans="4:38" x14ac:dyDescent="0.35">
      <c r="D28" s="47" t="s">
        <v>49</v>
      </c>
      <c r="G28" s="50"/>
      <c r="L28" s="48"/>
      <c r="M28" s="437" t="s">
        <v>51</v>
      </c>
      <c r="O28" s="437"/>
      <c r="S28" s="50"/>
      <c r="V28" s="45" t="s">
        <v>49</v>
      </c>
      <c r="AC28" s="50"/>
    </row>
    <row r="29" spans="4:38" ht="12.75" customHeight="1" x14ac:dyDescent="0.35">
      <c r="G29" s="50"/>
      <c r="M29" s="437"/>
      <c r="O29" s="437">
        <f>M30+IF(Munka1!C123=TRUE,Munka1!C119,Munka1!C118)+IF(Munka1!B254=TRUE,Munka1!G258,0)</f>
        <v>2335</v>
      </c>
      <c r="S29" s="50"/>
      <c r="AC29" s="50"/>
    </row>
    <row r="30" spans="4:38" ht="17.25" customHeight="1" x14ac:dyDescent="0.35">
      <c r="G30" s="50"/>
      <c r="M30" s="441">
        <f>Munka1!C116</f>
        <v>2125</v>
      </c>
      <c r="O30" s="437"/>
      <c r="S30" s="50"/>
      <c r="AC30" s="50"/>
      <c r="AD30" s="435">
        <f>510+'Beépítési helyigény'!M30:M31</f>
        <v>2635</v>
      </c>
      <c r="AE30" s="435"/>
      <c r="AF30" s="45" t="s">
        <v>51</v>
      </c>
    </row>
    <row r="31" spans="4:38" ht="23.25" x14ac:dyDescent="0.35">
      <c r="G31" s="50"/>
      <c r="M31" s="441"/>
      <c r="O31" s="46" t="s">
        <v>52</v>
      </c>
      <c r="Q31" s="442" t="s">
        <v>50</v>
      </c>
      <c r="R31" s="442"/>
      <c r="S31" s="50"/>
      <c r="AC31" s="50"/>
    </row>
    <row r="32" spans="4:38" x14ac:dyDescent="0.35">
      <c r="G32" s="50"/>
      <c r="S32" s="50"/>
      <c r="AC32" s="50"/>
    </row>
    <row r="33" spans="4:46" ht="3" customHeight="1" x14ac:dyDescent="0.35">
      <c r="G33" s="50"/>
      <c r="S33" s="50"/>
      <c r="AC33" s="50"/>
    </row>
    <row r="35" spans="4:46" x14ac:dyDescent="0.35">
      <c r="L35" s="436">
        <f>Munka1!C115</f>
        <v>5500</v>
      </c>
      <c r="M35" s="436"/>
      <c r="N35" s="48" t="s">
        <v>51</v>
      </c>
    </row>
    <row r="38" spans="4:46" x14ac:dyDescent="0.35">
      <c r="D38" s="442" t="s">
        <v>143</v>
      </c>
      <c r="E38" s="442"/>
      <c r="F38" s="442"/>
      <c r="G38" s="442"/>
      <c r="H38" s="442"/>
      <c r="I38" s="442"/>
      <c r="J38" s="442"/>
      <c r="K38" s="442"/>
      <c r="L38" s="442"/>
      <c r="M38" s="442"/>
      <c r="N38" s="442"/>
      <c r="O38" s="442"/>
      <c r="P38" s="442"/>
      <c r="Q38" s="442"/>
      <c r="R38" s="442"/>
      <c r="S38" s="442"/>
      <c r="T38" s="442"/>
      <c r="U38" s="442"/>
      <c r="V38" s="442"/>
      <c r="AA38" s="442" t="s">
        <v>60</v>
      </c>
      <c r="AB38" s="442"/>
      <c r="AC38" s="442"/>
      <c r="AD38" s="442"/>
      <c r="AE38" s="442"/>
      <c r="AF38" s="442"/>
      <c r="AG38" s="442"/>
      <c r="AH38" s="442"/>
      <c r="AI38" s="442"/>
      <c r="AJ38" s="442"/>
      <c r="AK38" s="442"/>
      <c r="AL38" s="442"/>
    </row>
    <row r="43" spans="4:46" x14ac:dyDescent="0.35">
      <c r="AM43" s="435"/>
      <c r="AN43" s="435"/>
      <c r="AO43" s="435"/>
      <c r="AP43" s="435"/>
      <c r="AQ43" s="435"/>
      <c r="AR43" s="435"/>
      <c r="AS43" s="435"/>
      <c r="AT43" s="435"/>
    </row>
    <row r="44" spans="4:46" x14ac:dyDescent="0.35">
      <c r="AM44" s="446" t="s">
        <v>15</v>
      </c>
      <c r="AN44" s="446"/>
      <c r="AO44" s="446"/>
      <c r="AP44" s="446"/>
      <c r="AQ44" s="446"/>
      <c r="AR44" s="446"/>
      <c r="AS44" s="446"/>
      <c r="AT44" s="446"/>
    </row>
    <row r="45" spans="4:46" x14ac:dyDescent="0.35">
      <c r="AM45" s="445"/>
      <c r="AN45" s="445"/>
      <c r="AO45" s="445"/>
      <c r="AP45" s="445"/>
      <c r="AQ45" s="445"/>
      <c r="AR45" s="445"/>
      <c r="AS45" s="445"/>
      <c r="AT45" s="445"/>
    </row>
  </sheetData>
  <sheetProtection selectLockedCells="1" selectUnlockedCells="1"/>
  <mergeCells count="22">
    <mergeCell ref="D38:V38"/>
    <mergeCell ref="AM45:AT45"/>
    <mergeCell ref="AA38:AL38"/>
    <mergeCell ref="AD30:AE30"/>
    <mergeCell ref="AM44:AT44"/>
    <mergeCell ref="AM43:AT43"/>
    <mergeCell ref="E1:O1"/>
    <mergeCell ref="M28:M29"/>
    <mergeCell ref="M30:M31"/>
    <mergeCell ref="B13:V13"/>
    <mergeCell ref="Q31:R31"/>
    <mergeCell ref="B14:V14"/>
    <mergeCell ref="B15:V15"/>
    <mergeCell ref="A10:E10"/>
    <mergeCell ref="AD24:AG25"/>
    <mergeCell ref="B12:V12"/>
    <mergeCell ref="L35:M35"/>
    <mergeCell ref="O27:O28"/>
    <mergeCell ref="A7:AM7"/>
    <mergeCell ref="O29:O30"/>
    <mergeCell ref="AG27:AH27"/>
    <mergeCell ref="AH21:AL22"/>
  </mergeCells>
  <phoneticPr fontId="23" type="noConversion"/>
  <hyperlinks>
    <hyperlink ref="A5" r:id="rId1" xr:uid="{00000000-0004-0000-0200-000000000000}"/>
    <hyperlink ref="A6" r:id="rId2" xr:uid="{00000000-0004-0000-0200-000001000000}"/>
  </hyperlinks>
  <printOptions horizontalCentered="1" verticalCentered="1"/>
  <pageMargins left="0.19685039370078741" right="0.19685039370078741" top="0" bottom="0.39370078740157483" header="0.51181102362204722" footer="0.51181102362204722"/>
  <pageSetup paperSize="9" scale="97" orientation="landscape" verticalDpi="0" r:id="rId3"/>
  <headerFooter alignWithMargins="0"/>
  <drawing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indexed="43"/>
  </sheetPr>
  <dimension ref="A1:I161"/>
  <sheetViews>
    <sheetView zoomScaleNormal="100" workbookViewId="0"/>
  </sheetViews>
  <sheetFormatPr defaultColWidth="9.19921875" defaultRowHeight="13.15" x14ac:dyDescent="0.4"/>
  <cols>
    <col min="1" max="1" width="1.73046875" style="45" customWidth="1"/>
    <col min="2" max="2" width="1.53125" style="51" customWidth="1"/>
    <col min="3" max="3" width="10" style="101" customWidth="1"/>
    <col min="4" max="4" width="68.796875" style="101" customWidth="1"/>
    <col min="5" max="5" width="2.796875" style="101" customWidth="1"/>
    <col min="6" max="6" width="8.796875" style="101" customWidth="1"/>
    <col min="7" max="7" width="9.19921875" style="45"/>
    <col min="8" max="8" width="9.265625" style="45" bestFit="1" customWidth="1"/>
    <col min="9" max="16384" width="9.19921875" style="45"/>
  </cols>
  <sheetData>
    <row r="1" spans="1:9" ht="63" customHeight="1" x14ac:dyDescent="0.4"/>
    <row r="2" spans="1:9" x14ac:dyDescent="0.4">
      <c r="A2" s="164"/>
      <c r="B2" s="165"/>
      <c r="C2" s="166"/>
      <c r="D2" s="166"/>
      <c r="E2" s="166"/>
      <c r="F2" s="166"/>
      <c r="G2" s="164"/>
      <c r="H2" s="164"/>
      <c r="I2" s="164"/>
    </row>
    <row r="3" spans="1:9" ht="17.649999999999999" x14ac:dyDescent="0.5">
      <c r="A3" s="164"/>
      <c r="B3" s="167" t="s">
        <v>195</v>
      </c>
      <c r="C3" s="166"/>
      <c r="D3" s="166"/>
      <c r="E3" s="166"/>
      <c r="F3" s="166"/>
      <c r="G3" s="164"/>
      <c r="H3" s="164"/>
      <c r="I3" s="164"/>
    </row>
    <row r="4" spans="1:9" x14ac:dyDescent="0.4">
      <c r="A4" s="164"/>
      <c r="B4" s="165"/>
      <c r="C4" s="166"/>
      <c r="D4" s="166"/>
      <c r="E4" s="166"/>
      <c r="F4" s="166"/>
      <c r="G4" s="164"/>
      <c r="H4" s="164"/>
      <c r="I4" s="164"/>
    </row>
    <row r="5" spans="1:9" ht="27" customHeight="1" x14ac:dyDescent="0.4"/>
    <row r="6" spans="1:9" x14ac:dyDescent="0.4">
      <c r="B6" s="51" t="s">
        <v>170</v>
      </c>
    </row>
    <row r="7" spans="1:9" x14ac:dyDescent="0.4">
      <c r="C7" s="447" t="s">
        <v>159</v>
      </c>
      <c r="D7" s="447"/>
    </row>
    <row r="8" spans="1:9" ht="25.9" x14ac:dyDescent="0.4">
      <c r="D8" s="101" t="s">
        <v>165</v>
      </c>
    </row>
    <row r="9" spans="1:9" x14ac:dyDescent="0.4">
      <c r="C9" s="447" t="s">
        <v>148</v>
      </c>
      <c r="D9" s="447"/>
    </row>
    <row r="10" spans="1:9" ht="25.9" x14ac:dyDescent="0.4">
      <c r="D10" s="101" t="s">
        <v>206</v>
      </c>
    </row>
    <row r="11" spans="1:9" x14ac:dyDescent="0.4">
      <c r="C11" s="447" t="s">
        <v>174</v>
      </c>
      <c r="D11" s="447"/>
    </row>
    <row r="12" spans="1:9" ht="51.75" customHeight="1" x14ac:dyDescent="0.4">
      <c r="D12" s="101" t="s">
        <v>207</v>
      </c>
    </row>
    <row r="13" spans="1:9" x14ac:dyDescent="0.4">
      <c r="C13" s="447" t="s">
        <v>173</v>
      </c>
      <c r="D13" s="447"/>
    </row>
    <row r="14" spans="1:9" ht="76.900000000000006" x14ac:dyDescent="0.4">
      <c r="D14" s="101" t="s">
        <v>208</v>
      </c>
    </row>
    <row r="15" spans="1:9" x14ac:dyDescent="0.4">
      <c r="C15" s="447" t="s">
        <v>171</v>
      </c>
      <c r="D15" s="447"/>
    </row>
    <row r="16" spans="1:9" ht="25.9" x14ac:dyDescent="0.4">
      <c r="D16" s="101" t="s">
        <v>172</v>
      </c>
    </row>
    <row r="18" spans="2:4" x14ac:dyDescent="0.4">
      <c r="B18" s="51" t="s">
        <v>354</v>
      </c>
    </row>
    <row r="19" spans="2:4" x14ac:dyDescent="0.4">
      <c r="C19" s="447" t="s">
        <v>355</v>
      </c>
      <c r="D19" s="447"/>
    </row>
    <row r="20" spans="2:4" ht="38.65" x14ac:dyDescent="0.4">
      <c r="D20" s="101" t="s">
        <v>356</v>
      </c>
    </row>
    <row r="21" spans="2:4" x14ac:dyDescent="0.4">
      <c r="D21"/>
    </row>
    <row r="29" spans="2:4" ht="18" customHeight="1" x14ac:dyDescent="0.4"/>
    <row r="30" spans="2:4" x14ac:dyDescent="0.4">
      <c r="B30" s="51" t="s">
        <v>175</v>
      </c>
    </row>
    <row r="31" spans="2:4" x14ac:dyDescent="0.4">
      <c r="C31" s="447" t="s">
        <v>150</v>
      </c>
      <c r="D31" s="447"/>
    </row>
    <row r="32" spans="2:4" ht="38.65" x14ac:dyDescent="0.4">
      <c r="D32" s="101" t="s">
        <v>176</v>
      </c>
    </row>
    <row r="33" spans="2:4" x14ac:dyDescent="0.4">
      <c r="C33" s="447" t="s">
        <v>177</v>
      </c>
      <c r="D33" s="447"/>
    </row>
    <row r="34" spans="2:4" ht="25.9" x14ac:dyDescent="0.4">
      <c r="D34" s="101" t="s">
        <v>196</v>
      </c>
    </row>
    <row r="35" spans="2:4" x14ac:dyDescent="0.4">
      <c r="D35" s="101" t="s">
        <v>178</v>
      </c>
    </row>
    <row r="36" spans="2:4" ht="130.5" customHeight="1" x14ac:dyDescent="0.4"/>
    <row r="37" spans="2:4" x14ac:dyDescent="0.4">
      <c r="B37" s="51" t="s">
        <v>169</v>
      </c>
    </row>
    <row r="38" spans="2:4" x14ac:dyDescent="0.4">
      <c r="C38" s="447" t="s">
        <v>145</v>
      </c>
      <c r="D38" s="447"/>
    </row>
    <row r="39" spans="2:4" x14ac:dyDescent="0.4">
      <c r="D39" s="101" t="s">
        <v>166</v>
      </c>
    </row>
    <row r="40" spans="2:4" ht="25.5" customHeight="1" x14ac:dyDescent="0.4">
      <c r="C40" s="447" t="s">
        <v>168</v>
      </c>
      <c r="D40" s="447"/>
    </row>
    <row r="41" spans="2:4" ht="28.5" customHeight="1" x14ac:dyDescent="0.4">
      <c r="D41" s="101" t="s">
        <v>220</v>
      </c>
    </row>
    <row r="42" spans="2:4" ht="35.25" customHeight="1" x14ac:dyDescent="0.4">
      <c r="C42" s="447" t="s">
        <v>158</v>
      </c>
      <c r="D42" s="447"/>
    </row>
    <row r="43" spans="2:4" ht="57" customHeight="1" x14ac:dyDescent="0.4">
      <c r="D43" s="101" t="s">
        <v>197</v>
      </c>
    </row>
    <row r="47" spans="2:4" x14ac:dyDescent="0.4">
      <c r="B47" s="51" t="s">
        <v>182</v>
      </c>
    </row>
    <row r="48" spans="2:4" x14ac:dyDescent="0.4">
      <c r="C48" s="447" t="s">
        <v>180</v>
      </c>
      <c r="D48" s="447"/>
    </row>
    <row r="49" spans="2:4" ht="25.9" x14ac:dyDescent="0.4">
      <c r="D49" s="101" t="s">
        <v>218</v>
      </c>
    </row>
    <row r="52" spans="2:4" x14ac:dyDescent="0.4">
      <c r="B52" s="51" t="s">
        <v>349</v>
      </c>
    </row>
    <row r="53" spans="2:4" x14ac:dyDescent="0.4">
      <c r="C53" s="447" t="s">
        <v>350</v>
      </c>
      <c r="D53" s="447"/>
    </row>
    <row r="54" spans="2:4" x14ac:dyDescent="0.4">
      <c r="C54" s="447" t="s">
        <v>357</v>
      </c>
      <c r="D54" s="447"/>
    </row>
    <row r="55" spans="2:4" x14ac:dyDescent="0.4">
      <c r="C55" s="447" t="s">
        <v>351</v>
      </c>
      <c r="D55" s="447"/>
    </row>
    <row r="57" spans="2:4" x14ac:dyDescent="0.4">
      <c r="D57" s="101" t="s">
        <v>352</v>
      </c>
    </row>
    <row r="59" spans="2:4" ht="21.75" customHeight="1" x14ac:dyDescent="0.4"/>
    <row r="60" spans="2:4" ht="38.65" x14ac:dyDescent="0.4">
      <c r="D60" s="101" t="s">
        <v>353</v>
      </c>
    </row>
    <row r="64" spans="2:4" x14ac:dyDescent="0.4">
      <c r="B64" s="51" t="s">
        <v>198</v>
      </c>
    </row>
    <row r="65" spans="2:4" ht="25.5" customHeight="1" x14ac:dyDescent="0.4">
      <c r="C65" s="447" t="s">
        <v>219</v>
      </c>
      <c r="D65" s="447"/>
    </row>
    <row r="66" spans="2:4" ht="25.5" customHeight="1" x14ac:dyDescent="0.4">
      <c r="C66" s="448" t="s">
        <v>181</v>
      </c>
      <c r="D66" s="448"/>
    </row>
    <row r="67" spans="2:4" ht="25.9" x14ac:dyDescent="0.4">
      <c r="D67" s="101" t="s">
        <v>217</v>
      </c>
    </row>
    <row r="68" spans="2:4" x14ac:dyDescent="0.4">
      <c r="C68" s="447" t="s">
        <v>154</v>
      </c>
      <c r="D68" s="447"/>
    </row>
    <row r="69" spans="2:4" ht="25.9" x14ac:dyDescent="0.4">
      <c r="D69" s="101" t="s">
        <v>199</v>
      </c>
    </row>
    <row r="71" spans="2:4" x14ac:dyDescent="0.4">
      <c r="B71" s="51" t="s">
        <v>183</v>
      </c>
    </row>
    <row r="72" spans="2:4" ht="25.5" customHeight="1" x14ac:dyDescent="0.4">
      <c r="C72" s="447" t="s">
        <v>184</v>
      </c>
      <c r="D72" s="447"/>
    </row>
    <row r="73" spans="2:4" ht="25.9" x14ac:dyDescent="0.4">
      <c r="D73" s="101" t="s">
        <v>185</v>
      </c>
    </row>
    <row r="75" spans="2:4" x14ac:dyDescent="0.4">
      <c r="B75" s="51" t="s">
        <v>186</v>
      </c>
    </row>
    <row r="76" spans="2:4" ht="26.25" customHeight="1" x14ac:dyDescent="0.4">
      <c r="C76" s="450" t="s">
        <v>358</v>
      </c>
      <c r="D76" s="450"/>
    </row>
    <row r="77" spans="2:4" ht="16.5" customHeight="1" x14ac:dyDescent="0.4">
      <c r="C77" s="450"/>
      <c r="D77" s="450"/>
    </row>
    <row r="78" spans="2:4" x14ac:dyDescent="0.4">
      <c r="C78" s="447" t="s">
        <v>149</v>
      </c>
      <c r="D78" s="447"/>
    </row>
    <row r="79" spans="2:4" ht="67.5" customHeight="1" x14ac:dyDescent="0.4">
      <c r="D79" s="168" t="s">
        <v>200</v>
      </c>
    </row>
    <row r="80" spans="2:4" ht="24.75" customHeight="1" x14ac:dyDescent="0.4">
      <c r="C80" s="447" t="s">
        <v>201</v>
      </c>
      <c r="D80" s="447"/>
    </row>
    <row r="81" spans="2:4" ht="38.25" x14ac:dyDescent="0.4">
      <c r="D81" s="169" t="s">
        <v>167</v>
      </c>
    </row>
    <row r="82" spans="2:4" x14ac:dyDescent="0.4">
      <c r="C82" s="447" t="s">
        <v>153</v>
      </c>
      <c r="D82" s="447"/>
    </row>
    <row r="83" spans="2:4" ht="69.75" customHeight="1" x14ac:dyDescent="0.4">
      <c r="D83" s="169" t="s">
        <v>202</v>
      </c>
    </row>
    <row r="86" spans="2:4" x14ac:dyDescent="0.4">
      <c r="B86" s="51" t="s">
        <v>203</v>
      </c>
    </row>
    <row r="87" spans="2:4" x14ac:dyDescent="0.4">
      <c r="C87" s="447" t="s">
        <v>160</v>
      </c>
      <c r="D87" s="447"/>
    </row>
    <row r="88" spans="2:4" ht="64.150000000000006" x14ac:dyDescent="0.4">
      <c r="D88" s="101" t="s">
        <v>204</v>
      </c>
    </row>
    <row r="89" spans="2:4" ht="17.25" customHeight="1" x14ac:dyDescent="0.4"/>
    <row r="90" spans="2:4" x14ac:dyDescent="0.4">
      <c r="B90" s="51" t="s">
        <v>187</v>
      </c>
    </row>
    <row r="91" spans="2:4" x14ac:dyDescent="0.4">
      <c r="C91" s="447" t="s">
        <v>161</v>
      </c>
      <c r="D91" s="447"/>
    </row>
    <row r="92" spans="2:4" ht="38.65" x14ac:dyDescent="0.4">
      <c r="D92" s="101" t="s">
        <v>188</v>
      </c>
    </row>
    <row r="94" spans="2:4" x14ac:dyDescent="0.4">
      <c r="B94" s="51" t="s">
        <v>189</v>
      </c>
    </row>
    <row r="95" spans="2:4" x14ac:dyDescent="0.4">
      <c r="C95" s="447" t="s">
        <v>156</v>
      </c>
      <c r="D95" s="447"/>
    </row>
    <row r="96" spans="2:4" ht="25.9" x14ac:dyDescent="0.4">
      <c r="D96" s="101" t="s">
        <v>190</v>
      </c>
    </row>
    <row r="98" spans="2:4" x14ac:dyDescent="0.4">
      <c r="B98" s="51" t="s">
        <v>191</v>
      </c>
    </row>
    <row r="99" spans="2:4" x14ac:dyDescent="0.4">
      <c r="C99" s="447" t="s">
        <v>216</v>
      </c>
      <c r="D99" s="447"/>
    </row>
    <row r="100" spans="2:4" x14ac:dyDescent="0.4">
      <c r="C100" s="447" t="s">
        <v>151</v>
      </c>
      <c r="D100" s="447"/>
    </row>
    <row r="101" spans="2:4" x14ac:dyDescent="0.4">
      <c r="C101" s="447" t="s">
        <v>157</v>
      </c>
      <c r="D101" s="447"/>
    </row>
    <row r="102" spans="2:4" x14ac:dyDescent="0.4">
      <c r="C102" s="447" t="s">
        <v>146</v>
      </c>
      <c r="D102" s="447"/>
    </row>
    <row r="104" spans="2:4" x14ac:dyDescent="0.4">
      <c r="B104" s="51" t="s">
        <v>192</v>
      </c>
    </row>
    <row r="105" spans="2:4" x14ac:dyDescent="0.4">
      <c r="C105" s="447" t="s">
        <v>162</v>
      </c>
      <c r="D105" s="447"/>
    </row>
    <row r="106" spans="2:4" ht="51.4" x14ac:dyDescent="0.4">
      <c r="D106" s="101" t="s">
        <v>193</v>
      </c>
    </row>
    <row r="107" spans="2:4" x14ac:dyDescent="0.4">
      <c r="C107" s="447" t="s">
        <v>155</v>
      </c>
      <c r="D107" s="447"/>
    </row>
    <row r="108" spans="2:4" ht="51.4" x14ac:dyDescent="0.4">
      <c r="D108" s="101" t="s">
        <v>194</v>
      </c>
    </row>
    <row r="110" spans="2:4" x14ac:dyDescent="0.4">
      <c r="B110" s="51" t="s">
        <v>205</v>
      </c>
    </row>
    <row r="111" spans="2:4" x14ac:dyDescent="0.4">
      <c r="C111" s="447" t="s">
        <v>210</v>
      </c>
      <c r="D111" s="447"/>
    </row>
    <row r="112" spans="2:4" ht="25.9" x14ac:dyDescent="0.4">
      <c r="D112" s="101" t="s">
        <v>211</v>
      </c>
    </row>
    <row r="113" spans="1:9" x14ac:dyDescent="0.4">
      <c r="C113" s="447" t="s">
        <v>164</v>
      </c>
      <c r="D113" s="447"/>
    </row>
    <row r="114" spans="1:9" ht="51.4" x14ac:dyDescent="0.4">
      <c r="D114" s="101" t="s">
        <v>212</v>
      </c>
    </row>
    <row r="116" spans="1:9" x14ac:dyDescent="0.4">
      <c r="B116" s="51" t="s">
        <v>209</v>
      </c>
    </row>
    <row r="117" spans="1:9" ht="27" customHeight="1" x14ac:dyDescent="0.4">
      <c r="C117" s="447" t="s">
        <v>163</v>
      </c>
      <c r="D117" s="447"/>
    </row>
    <row r="118" spans="1:9" ht="25.9" x14ac:dyDescent="0.4">
      <c r="D118" s="101" t="s">
        <v>213</v>
      </c>
    </row>
    <row r="120" spans="1:9" x14ac:dyDescent="0.4">
      <c r="A120" s="164"/>
      <c r="B120" s="165"/>
      <c r="C120" s="166"/>
      <c r="D120" s="166"/>
      <c r="E120" s="166"/>
      <c r="F120" s="166"/>
      <c r="G120" s="164"/>
      <c r="H120" s="164"/>
      <c r="I120" s="164"/>
    </row>
    <row r="121" spans="1:9" x14ac:dyDescent="0.4">
      <c r="A121" s="164"/>
      <c r="B121" s="165" t="s">
        <v>222</v>
      </c>
      <c r="C121" s="166"/>
      <c r="D121" s="166"/>
      <c r="E121" s="166"/>
      <c r="F121" s="170" t="s">
        <v>224</v>
      </c>
      <c r="G121" s="165" t="s">
        <v>223</v>
      </c>
      <c r="H121" s="164"/>
      <c r="I121" s="164"/>
    </row>
    <row r="122" spans="1:9" x14ac:dyDescent="0.4">
      <c r="A122" s="164"/>
      <c r="B122" s="165"/>
      <c r="C122" s="166"/>
      <c r="D122" s="166"/>
      <c r="E122" s="166"/>
      <c r="F122" s="166"/>
      <c r="G122" s="164"/>
      <c r="H122" s="164"/>
      <c r="I122" s="164"/>
    </row>
    <row r="124" spans="1:9" s="105" customFormat="1" x14ac:dyDescent="0.4">
      <c r="B124" s="103" t="s">
        <v>221</v>
      </c>
      <c r="C124" s="104"/>
      <c r="D124" s="104"/>
      <c r="E124" s="104"/>
      <c r="F124" s="104"/>
    </row>
    <row r="125" spans="1:9" s="105" customFormat="1" x14ac:dyDescent="0.4">
      <c r="B125" s="103"/>
      <c r="C125" s="449" t="s">
        <v>214</v>
      </c>
      <c r="D125" s="449"/>
      <c r="E125" s="104"/>
      <c r="F125" s="104"/>
    </row>
    <row r="126" spans="1:9" s="105" customFormat="1" ht="38.25" customHeight="1" x14ac:dyDescent="0.4">
      <c r="B126" s="103"/>
      <c r="C126" s="449" t="s">
        <v>215</v>
      </c>
      <c r="D126" s="449"/>
      <c r="E126" s="104"/>
      <c r="F126" s="104"/>
    </row>
    <row r="127" spans="1:9" s="105" customFormat="1" x14ac:dyDescent="0.4">
      <c r="B127" s="103"/>
      <c r="C127" s="449" t="s">
        <v>144</v>
      </c>
      <c r="D127" s="449"/>
      <c r="E127" s="104"/>
      <c r="F127" s="104"/>
    </row>
    <row r="128" spans="1:9" s="105" customFormat="1" x14ac:dyDescent="0.4">
      <c r="B128" s="103"/>
      <c r="C128" s="449" t="s">
        <v>179</v>
      </c>
      <c r="D128" s="449"/>
      <c r="E128" s="104"/>
      <c r="F128" s="104"/>
    </row>
    <row r="129" spans="2:8" s="105" customFormat="1" x14ac:dyDescent="0.4">
      <c r="B129" s="103"/>
      <c r="C129" s="449" t="s">
        <v>152</v>
      </c>
      <c r="D129" s="449"/>
      <c r="E129" s="104"/>
      <c r="F129" s="104"/>
    </row>
    <row r="130" spans="2:8" s="105" customFormat="1" x14ac:dyDescent="0.4">
      <c r="B130" s="103"/>
      <c r="C130" s="104"/>
      <c r="D130" s="104"/>
      <c r="E130" s="104"/>
      <c r="F130" s="104"/>
    </row>
    <row r="131" spans="2:8" s="105" customFormat="1" x14ac:dyDescent="0.4">
      <c r="B131" s="103"/>
      <c r="C131" s="449" t="s">
        <v>147</v>
      </c>
      <c r="D131" s="449"/>
      <c r="E131" s="104"/>
      <c r="F131" s="104"/>
    </row>
    <row r="143" spans="2:8" x14ac:dyDescent="0.4">
      <c r="H143" s="102"/>
    </row>
    <row r="144" spans="2:8" x14ac:dyDescent="0.4">
      <c r="H144" s="102"/>
    </row>
    <row r="145" spans="8:8" x14ac:dyDescent="0.4">
      <c r="H145" s="102"/>
    </row>
    <row r="146" spans="8:8" x14ac:dyDescent="0.4">
      <c r="H146" s="102"/>
    </row>
    <row r="147" spans="8:8" x14ac:dyDescent="0.4">
      <c r="H147" s="102"/>
    </row>
    <row r="148" spans="8:8" x14ac:dyDescent="0.4">
      <c r="H148" s="102"/>
    </row>
    <row r="149" spans="8:8" x14ac:dyDescent="0.4">
      <c r="H149" s="102"/>
    </row>
    <row r="150" spans="8:8" x14ac:dyDescent="0.4">
      <c r="H150" s="102"/>
    </row>
    <row r="151" spans="8:8" x14ac:dyDescent="0.4">
      <c r="H151" s="102"/>
    </row>
    <row r="152" spans="8:8" x14ac:dyDescent="0.4">
      <c r="H152" s="102"/>
    </row>
    <row r="153" spans="8:8" x14ac:dyDescent="0.4">
      <c r="H153" s="102"/>
    </row>
    <row r="154" spans="8:8" x14ac:dyDescent="0.4">
      <c r="H154" s="102"/>
    </row>
    <row r="155" spans="8:8" x14ac:dyDescent="0.4">
      <c r="H155" s="102"/>
    </row>
    <row r="156" spans="8:8" x14ac:dyDescent="0.4">
      <c r="H156" s="102"/>
    </row>
    <row r="157" spans="8:8" x14ac:dyDescent="0.4">
      <c r="H157" s="102"/>
    </row>
    <row r="158" spans="8:8" x14ac:dyDescent="0.4">
      <c r="H158" s="102"/>
    </row>
    <row r="159" spans="8:8" x14ac:dyDescent="0.4">
      <c r="H159" s="102"/>
    </row>
    <row r="160" spans="8:8" x14ac:dyDescent="0.4">
      <c r="H160" s="102"/>
    </row>
    <row r="161" spans="8:8" x14ac:dyDescent="0.4">
      <c r="H161" s="102"/>
    </row>
  </sheetData>
  <sheetProtection algorithmName="SHA-512" hashValue="oycogIpqk9C0sSZwa+b/5C7VTErFYAoTQkyV/Eda8X6YWgneeRxg04BGulZ5WG9BtYrKyFtDWdBenYm0pvks2g==" saltValue="+50OIELtPFZJ5YOX8xf9UA==" spinCount="100000" sheet="1" objects="1" scenarios="1" selectLockedCells="1" selectUnlockedCells="1"/>
  <mergeCells count="41">
    <mergeCell ref="C129:D129"/>
    <mergeCell ref="C99:D99"/>
    <mergeCell ref="C76:D77"/>
    <mergeCell ref="C82:D82"/>
    <mergeCell ref="C131:D131"/>
    <mergeCell ref="C125:D125"/>
    <mergeCell ref="C126:D126"/>
    <mergeCell ref="C107:D107"/>
    <mergeCell ref="C117:D117"/>
    <mergeCell ref="C111:D111"/>
    <mergeCell ref="C127:D127"/>
    <mergeCell ref="C128:D128"/>
    <mergeCell ref="C53:D53"/>
    <mergeCell ref="C72:D72"/>
    <mergeCell ref="C113:D113"/>
    <mergeCell ref="C95:D95"/>
    <mergeCell ref="C48:D48"/>
    <mergeCell ref="C105:D105"/>
    <mergeCell ref="C102:D102"/>
    <mergeCell ref="C68:D68"/>
    <mergeCell ref="C101:D101"/>
    <mergeCell ref="C100:D100"/>
    <mergeCell ref="C55:D55"/>
    <mergeCell ref="C87:D87"/>
    <mergeCell ref="C91:D91"/>
    <mergeCell ref="C7:D7"/>
    <mergeCell ref="C38:D38"/>
    <mergeCell ref="C80:D80"/>
    <mergeCell ref="C9:D9"/>
    <mergeCell ref="C13:D13"/>
    <mergeCell ref="C11:D11"/>
    <mergeCell ref="C65:D65"/>
    <mergeCell ref="C31:D31"/>
    <mergeCell ref="C78:D78"/>
    <mergeCell ref="C54:D54"/>
    <mergeCell ref="C33:D33"/>
    <mergeCell ref="C66:D66"/>
    <mergeCell ref="C15:D15"/>
    <mergeCell ref="C40:D40"/>
    <mergeCell ref="C42:D42"/>
    <mergeCell ref="C19:D19"/>
  </mergeCells>
  <phoneticPr fontId="23" type="noConversion"/>
  <pageMargins left="0" right="0" top="0.98425196850393704" bottom="0.98425196850393704" header="0.51181102362204722" footer="0.51181102362204722"/>
  <pageSetup paperSize="9" scale="80"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3" tint="-0.499984740745262"/>
  </sheetPr>
  <dimension ref="A1:AT45"/>
  <sheetViews>
    <sheetView zoomScale="70" zoomScaleNormal="70" workbookViewId="0">
      <selection activeCell="K6" sqref="K6"/>
    </sheetView>
  </sheetViews>
  <sheetFormatPr defaultColWidth="3.19921875" defaultRowHeight="12.75" x14ac:dyDescent="0.35"/>
  <cols>
    <col min="1" max="28" width="3.19921875" style="133" customWidth="1"/>
    <col min="29" max="29" width="2.53125" style="133" customWidth="1"/>
    <col min="30" max="49" width="3.19921875" style="133"/>
    <col min="50" max="50" width="3.19921875" style="133" customWidth="1"/>
    <col min="51" max="16384" width="3.19921875" style="133"/>
  </cols>
  <sheetData>
    <row r="1" spans="1:46" s="1" customFormat="1" ht="18.75" customHeight="1" x14ac:dyDescent="0.6">
      <c r="E1" s="440"/>
      <c r="F1" s="440"/>
      <c r="G1" s="440"/>
      <c r="H1" s="440"/>
      <c r="I1" s="440"/>
      <c r="J1" s="440"/>
      <c r="K1" s="440"/>
      <c r="L1" s="440"/>
      <c r="M1" s="440"/>
      <c r="N1" s="440"/>
      <c r="O1" s="440"/>
      <c r="P1" s="26"/>
      <c r="R1" s="27"/>
    </row>
    <row r="2" spans="1:46" s="1" customFormat="1" ht="12.75" customHeight="1" x14ac:dyDescent="0.6">
      <c r="G2" s="29"/>
      <c r="H2" s="29"/>
      <c r="J2" s="25"/>
      <c r="K2" s="25"/>
      <c r="L2" s="25"/>
      <c r="M2" s="25"/>
      <c r="N2" s="25"/>
      <c r="O2" s="25"/>
      <c r="P2" s="26"/>
      <c r="R2" s="27"/>
    </row>
    <row r="3" spans="1:46" s="1" customFormat="1" ht="12.75" customHeight="1" x14ac:dyDescent="0.6">
      <c r="B3" s="33" t="s">
        <v>0</v>
      </c>
      <c r="C3" s="29"/>
      <c r="G3" s="29"/>
      <c r="J3" s="31"/>
      <c r="K3" s="31"/>
      <c r="L3" s="31"/>
      <c r="M3" s="31"/>
      <c r="N3" s="31"/>
      <c r="O3" s="31"/>
      <c r="P3" s="32"/>
      <c r="Q3" s="34"/>
      <c r="R3" s="27"/>
    </row>
    <row r="4" spans="1:46" s="1" customFormat="1" ht="12.75" customHeight="1" x14ac:dyDescent="0.6">
      <c r="B4" s="29" t="s">
        <v>1</v>
      </c>
      <c r="C4" s="29"/>
      <c r="G4" s="29"/>
      <c r="J4" s="31"/>
      <c r="K4" s="31"/>
      <c r="L4" s="31"/>
      <c r="M4" s="31"/>
      <c r="N4" s="31"/>
      <c r="O4" s="31"/>
      <c r="P4" s="32"/>
      <c r="Q4" s="27"/>
      <c r="R4" s="27"/>
    </row>
    <row r="5" spans="1:46" s="1" customFormat="1" ht="12.75" customHeight="1" x14ac:dyDescent="0.6">
      <c r="B5" s="131" t="s">
        <v>47</v>
      </c>
      <c r="C5" s="29"/>
      <c r="E5" s="131"/>
      <c r="F5" s="29"/>
      <c r="G5" s="29"/>
      <c r="H5" s="29"/>
      <c r="J5" s="31"/>
      <c r="K5" s="31"/>
      <c r="L5" s="31"/>
      <c r="M5" s="31"/>
      <c r="N5" s="31"/>
      <c r="O5" s="31"/>
      <c r="P5" s="32"/>
      <c r="Q5" s="27"/>
      <c r="R5" s="27"/>
    </row>
    <row r="6" spans="1:46" s="1" customFormat="1" ht="9" customHeight="1" x14ac:dyDescent="0.6">
      <c r="F6" s="29"/>
      <c r="G6" s="29"/>
      <c r="H6" s="29"/>
      <c r="J6" s="31"/>
      <c r="K6" s="31"/>
      <c r="L6" s="31"/>
      <c r="M6" s="31"/>
      <c r="N6" s="31"/>
      <c r="O6" s="31"/>
      <c r="P6" s="32"/>
      <c r="Q6" s="27"/>
      <c r="R6" s="27"/>
    </row>
    <row r="7" spans="1:46" s="1" customFormat="1" ht="20.25" customHeight="1" x14ac:dyDescent="0.4">
      <c r="A7" s="438" t="s">
        <v>324</v>
      </c>
      <c r="B7" s="438"/>
      <c r="C7" s="438"/>
      <c r="D7" s="438"/>
      <c r="E7" s="438"/>
      <c r="F7" s="438"/>
      <c r="G7" s="438"/>
      <c r="H7" s="438"/>
      <c r="I7" s="438"/>
      <c r="J7" s="438"/>
      <c r="K7" s="438"/>
      <c r="L7" s="438"/>
      <c r="M7" s="438"/>
      <c r="N7" s="438"/>
      <c r="O7" s="438"/>
      <c r="P7" s="438"/>
      <c r="Q7" s="438"/>
      <c r="R7" s="438"/>
      <c r="S7" s="438"/>
      <c r="T7" s="438"/>
      <c r="U7" s="438"/>
      <c r="V7" s="438"/>
      <c r="W7" s="438"/>
      <c r="X7" s="438"/>
      <c r="Y7" s="438"/>
      <c r="Z7" s="438"/>
      <c r="AA7" s="438"/>
      <c r="AB7" s="438"/>
      <c r="AC7" s="438"/>
      <c r="AD7" s="438"/>
      <c r="AE7" s="438"/>
      <c r="AF7" s="438"/>
      <c r="AG7" s="438"/>
      <c r="AH7" s="438"/>
      <c r="AI7" s="438"/>
      <c r="AJ7" s="438"/>
      <c r="AK7" s="438"/>
      <c r="AL7" s="438"/>
      <c r="AM7" s="438"/>
      <c r="AN7" s="438"/>
      <c r="AO7" s="438"/>
      <c r="AP7" s="438"/>
      <c r="AQ7" s="438"/>
      <c r="AR7" s="438"/>
      <c r="AS7" s="438"/>
      <c r="AT7" s="438"/>
    </row>
    <row r="8" spans="1:46" ht="13.15" x14ac:dyDescent="0.4">
      <c r="A8" s="132"/>
      <c r="B8" s="132"/>
      <c r="C8" s="132"/>
      <c r="D8" s="132"/>
      <c r="E8" s="132"/>
      <c r="F8" s="132"/>
      <c r="G8" s="132"/>
      <c r="H8" s="132"/>
      <c r="I8" s="132"/>
      <c r="J8" s="132"/>
      <c r="K8" s="132"/>
      <c r="L8" s="132"/>
      <c r="M8" s="132"/>
      <c r="N8" s="132"/>
      <c r="O8" s="132"/>
      <c r="P8" s="132"/>
      <c r="Q8" s="132"/>
      <c r="R8" s="132"/>
      <c r="S8" s="132"/>
      <c r="T8" s="132"/>
      <c r="U8" s="132"/>
      <c r="V8" s="132"/>
      <c r="W8" s="132"/>
      <c r="X8" s="132"/>
      <c r="Y8" s="132"/>
      <c r="Z8" s="132"/>
      <c r="AA8" s="132"/>
      <c r="AB8" s="132"/>
      <c r="AC8" s="132"/>
      <c r="AD8" s="132"/>
      <c r="AE8" s="132"/>
      <c r="AF8" s="132"/>
      <c r="AG8" s="132"/>
      <c r="AH8" s="132"/>
      <c r="AI8" s="132"/>
      <c r="AJ8" s="132"/>
      <c r="AK8" s="132"/>
      <c r="AL8" s="132"/>
      <c r="AM8" s="132"/>
    </row>
    <row r="10" spans="1:46" ht="13.15" x14ac:dyDescent="0.4">
      <c r="A10" s="134"/>
    </row>
    <row r="11" spans="1:46" ht="13.15" x14ac:dyDescent="0.4">
      <c r="A11" s="134"/>
    </row>
    <row r="12" spans="1:46" x14ac:dyDescent="0.35">
      <c r="B12" s="435"/>
      <c r="C12" s="435"/>
      <c r="D12" s="435"/>
      <c r="E12" s="435"/>
      <c r="F12" s="435"/>
      <c r="G12" s="435"/>
      <c r="H12" s="435"/>
      <c r="I12" s="435"/>
      <c r="J12" s="435"/>
      <c r="K12" s="435"/>
      <c r="L12" s="435"/>
      <c r="M12" s="435"/>
      <c r="N12" s="435"/>
      <c r="O12" s="435"/>
      <c r="P12" s="435"/>
      <c r="Q12" s="435"/>
      <c r="R12" s="435"/>
      <c r="S12" s="435"/>
      <c r="T12" s="435"/>
      <c r="U12" s="435"/>
      <c r="V12" s="435"/>
    </row>
    <row r="13" spans="1:46" x14ac:dyDescent="0.35">
      <c r="B13" s="435"/>
      <c r="C13" s="435"/>
      <c r="D13" s="435"/>
      <c r="E13" s="435"/>
      <c r="F13" s="435"/>
      <c r="G13" s="435"/>
      <c r="H13" s="435"/>
      <c r="I13" s="435"/>
      <c r="J13" s="435"/>
      <c r="K13" s="435"/>
      <c r="L13" s="435"/>
      <c r="M13" s="435"/>
      <c r="N13" s="435"/>
      <c r="O13" s="435"/>
      <c r="P13" s="435"/>
      <c r="Q13" s="435"/>
      <c r="R13" s="435"/>
      <c r="S13" s="435"/>
      <c r="T13" s="435"/>
      <c r="U13" s="435"/>
      <c r="V13" s="435"/>
    </row>
    <row r="14" spans="1:46" x14ac:dyDescent="0.35">
      <c r="B14" s="435"/>
      <c r="C14" s="435"/>
      <c r="D14" s="435"/>
      <c r="E14" s="435"/>
      <c r="F14" s="435"/>
      <c r="G14" s="435"/>
      <c r="H14" s="435"/>
      <c r="I14" s="435"/>
      <c r="J14" s="435"/>
      <c r="K14" s="435"/>
      <c r="L14" s="435"/>
      <c r="M14" s="435"/>
      <c r="N14" s="435"/>
      <c r="O14" s="435"/>
      <c r="P14" s="435"/>
      <c r="Q14" s="435"/>
      <c r="R14" s="435"/>
      <c r="S14" s="435"/>
      <c r="T14" s="435"/>
      <c r="U14" s="435"/>
      <c r="V14" s="435"/>
    </row>
    <row r="15" spans="1:46" x14ac:dyDescent="0.35">
      <c r="B15" s="443"/>
      <c r="C15" s="443"/>
      <c r="D15" s="443"/>
      <c r="E15" s="443"/>
      <c r="F15" s="443"/>
      <c r="G15" s="443"/>
      <c r="H15" s="443"/>
      <c r="I15" s="443"/>
      <c r="J15" s="443"/>
      <c r="K15" s="443"/>
      <c r="L15" s="443"/>
      <c r="M15" s="443"/>
      <c r="N15" s="443"/>
      <c r="O15" s="443"/>
      <c r="P15" s="443"/>
      <c r="Q15" s="443"/>
      <c r="R15" s="443"/>
      <c r="S15" s="443"/>
      <c r="T15" s="443"/>
      <c r="U15" s="443"/>
      <c r="V15" s="443"/>
    </row>
    <row r="16" spans="1:46" ht="6.75" customHeight="1" x14ac:dyDescent="0.35"/>
    <row r="22" spans="4:18" ht="4.5" customHeight="1" x14ac:dyDescent="0.35"/>
    <row r="23" spans="4:18" ht="4.5" customHeight="1" x14ac:dyDescent="0.35"/>
    <row r="24" spans="4:18" ht="6.75" customHeight="1" x14ac:dyDescent="0.35"/>
    <row r="25" spans="4:18" ht="6.75" customHeight="1" x14ac:dyDescent="0.35"/>
    <row r="27" spans="4:18" x14ac:dyDescent="0.35">
      <c r="O27" s="437"/>
    </row>
    <row r="28" spans="4:18" x14ac:dyDescent="0.35">
      <c r="D28" s="135"/>
      <c r="I28" s="436"/>
      <c r="J28" s="436"/>
      <c r="K28" s="136"/>
      <c r="L28" s="136"/>
      <c r="M28" s="437"/>
      <c r="O28" s="437"/>
    </row>
    <row r="29" spans="4:18" ht="12.75" customHeight="1" x14ac:dyDescent="0.35">
      <c r="M29" s="437"/>
      <c r="O29" s="437"/>
    </row>
    <row r="30" spans="4:18" ht="17.25" customHeight="1" x14ac:dyDescent="0.35">
      <c r="M30" s="452"/>
      <c r="O30" s="437"/>
    </row>
    <row r="31" spans="4:18" x14ac:dyDescent="0.35">
      <c r="M31" s="452"/>
      <c r="O31" s="137"/>
      <c r="Q31" s="451"/>
      <c r="R31" s="451"/>
    </row>
    <row r="33" spans="4:46" ht="3" customHeight="1" x14ac:dyDescent="0.35"/>
    <row r="38" spans="4:46" x14ac:dyDescent="0.35">
      <c r="D38" s="451"/>
      <c r="E38" s="451"/>
      <c r="F38" s="451"/>
      <c r="G38" s="451"/>
      <c r="H38" s="451"/>
      <c r="I38" s="451"/>
      <c r="J38" s="451"/>
      <c r="K38" s="451"/>
      <c r="L38" s="451"/>
      <c r="M38" s="451"/>
      <c r="N38" s="451"/>
      <c r="O38" s="451"/>
      <c r="P38" s="451"/>
      <c r="Q38" s="451"/>
      <c r="R38" s="451"/>
      <c r="S38" s="451"/>
      <c r="T38" s="451"/>
      <c r="U38" s="451"/>
      <c r="V38" s="451"/>
      <c r="AA38" s="451"/>
      <c r="AB38" s="451"/>
      <c r="AC38" s="451"/>
      <c r="AD38" s="451"/>
      <c r="AE38" s="451"/>
      <c r="AF38" s="451"/>
      <c r="AG38" s="451"/>
      <c r="AH38" s="451"/>
      <c r="AI38" s="451"/>
      <c r="AJ38" s="451"/>
      <c r="AK38" s="451"/>
      <c r="AL38" s="451"/>
    </row>
    <row r="43" spans="4:46" x14ac:dyDescent="0.35">
      <c r="AM43" s="435"/>
      <c r="AN43" s="435"/>
      <c r="AO43" s="435"/>
      <c r="AP43" s="435"/>
      <c r="AQ43" s="435"/>
      <c r="AR43" s="435"/>
      <c r="AS43" s="435"/>
      <c r="AT43" s="435"/>
    </row>
    <row r="44" spans="4:46" x14ac:dyDescent="0.35">
      <c r="AM44" s="453"/>
      <c r="AN44" s="453"/>
      <c r="AO44" s="453"/>
      <c r="AP44" s="453"/>
      <c r="AQ44" s="453"/>
      <c r="AR44" s="453"/>
      <c r="AS44" s="453"/>
      <c r="AT44" s="453"/>
    </row>
    <row r="45" spans="4:46" x14ac:dyDescent="0.35">
      <c r="AM45" s="454"/>
      <c r="AN45" s="454"/>
      <c r="AO45" s="454"/>
      <c r="AP45" s="454"/>
      <c r="AQ45" s="454"/>
      <c r="AR45" s="454"/>
      <c r="AS45" s="454"/>
      <c r="AT45" s="454"/>
    </row>
  </sheetData>
  <mergeCells count="17">
    <mergeCell ref="D38:V38"/>
    <mergeCell ref="AA38:AL38"/>
    <mergeCell ref="AM43:AT43"/>
    <mergeCell ref="AM44:AT44"/>
    <mergeCell ref="AM45:AT45"/>
    <mergeCell ref="Q31:R31"/>
    <mergeCell ref="E1:O1"/>
    <mergeCell ref="A7:AT7"/>
    <mergeCell ref="B12:V12"/>
    <mergeCell ref="B13:V13"/>
    <mergeCell ref="B14:V14"/>
    <mergeCell ref="B15:V15"/>
    <mergeCell ref="O27:O28"/>
    <mergeCell ref="I28:J28"/>
    <mergeCell ref="M28:M29"/>
    <mergeCell ref="O29:O30"/>
    <mergeCell ref="M30:M31"/>
  </mergeCells>
  <hyperlinks>
    <hyperlink ref="B5" r:id="rId1" xr:uid="{00000000-0004-0000-0400-000000000000}"/>
  </hyperlinks>
  <pageMargins left="0.7" right="0.7" top="0.75" bottom="0.75" header="0.3" footer="0.3"/>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9" tint="0.39997558519241921"/>
  </sheetPr>
  <dimension ref="A1:A3"/>
  <sheetViews>
    <sheetView workbookViewId="0">
      <selection activeCell="B5" sqref="B5"/>
    </sheetView>
  </sheetViews>
  <sheetFormatPr defaultColWidth="9.19921875" defaultRowHeight="12.75" x14ac:dyDescent="0.35"/>
  <cols>
    <col min="1" max="16384" width="9.19921875" style="45"/>
  </cols>
  <sheetData>
    <row r="1" spans="1:1" ht="20.65" x14ac:dyDescent="0.6">
      <c r="A1" s="127" t="s">
        <v>250</v>
      </c>
    </row>
    <row r="2" spans="1:1" x14ac:dyDescent="0.35">
      <c r="A2" s="1" t="s">
        <v>409</v>
      </c>
    </row>
    <row r="3" spans="1:1" x14ac:dyDescent="0.35">
      <c r="A3" s="202" t="s">
        <v>408</v>
      </c>
    </row>
  </sheetData>
  <sheetProtection password="CC6D" sheet="1" objects="1" scenarios="1" selectLockedCells="1" selectUnlockedCells="1"/>
  <phoneticPr fontId="23" type="noConversion"/>
  <hyperlinks>
    <hyperlink ref="A3" r:id="rId1" xr:uid="{00000000-0004-0000-0500-000000000000}"/>
  </hyperlinks>
  <pageMargins left="0.75" right="0.75" top="1" bottom="1" header="0.5" footer="0.5"/>
  <pageSetup paperSize="9" orientation="portrait" verticalDpi="0" r:id="rId2"/>
  <headerFooter alignWithMargins="0"/>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8B4CAD-5C6B-42AD-B175-8F70CA6D7DCC}">
  <sheetPr>
    <tabColor indexed="47"/>
  </sheetPr>
  <dimension ref="A1:A48"/>
  <sheetViews>
    <sheetView zoomScaleNormal="100" workbookViewId="0">
      <selection activeCell="A40" sqref="A40"/>
    </sheetView>
  </sheetViews>
  <sheetFormatPr defaultColWidth="9.1328125" defaultRowHeight="12.75" x14ac:dyDescent="0.35"/>
  <cols>
    <col min="1" max="1" width="176.59765625" style="317" customWidth="1"/>
    <col min="2" max="256" width="9.1328125" style="317"/>
    <col min="257" max="257" width="176.59765625" style="317" customWidth="1"/>
    <col min="258" max="512" width="9.1328125" style="317"/>
    <col min="513" max="513" width="176.59765625" style="317" customWidth="1"/>
    <col min="514" max="768" width="9.1328125" style="317"/>
    <col min="769" max="769" width="176.59765625" style="317" customWidth="1"/>
    <col min="770" max="1024" width="9.1328125" style="317"/>
    <col min="1025" max="1025" width="176.59765625" style="317" customWidth="1"/>
    <col min="1026" max="1280" width="9.1328125" style="317"/>
    <col min="1281" max="1281" width="176.59765625" style="317" customWidth="1"/>
    <col min="1282" max="1536" width="9.1328125" style="317"/>
    <col min="1537" max="1537" width="176.59765625" style="317" customWidth="1"/>
    <col min="1538" max="1792" width="9.1328125" style="317"/>
    <col min="1793" max="1793" width="176.59765625" style="317" customWidth="1"/>
    <col min="1794" max="2048" width="9.1328125" style="317"/>
    <col min="2049" max="2049" width="176.59765625" style="317" customWidth="1"/>
    <col min="2050" max="2304" width="9.1328125" style="317"/>
    <col min="2305" max="2305" width="176.59765625" style="317" customWidth="1"/>
    <col min="2306" max="2560" width="9.1328125" style="317"/>
    <col min="2561" max="2561" width="176.59765625" style="317" customWidth="1"/>
    <col min="2562" max="2816" width="9.1328125" style="317"/>
    <col min="2817" max="2817" width="176.59765625" style="317" customWidth="1"/>
    <col min="2818" max="3072" width="9.1328125" style="317"/>
    <col min="3073" max="3073" width="176.59765625" style="317" customWidth="1"/>
    <col min="3074" max="3328" width="9.1328125" style="317"/>
    <col min="3329" max="3329" width="176.59765625" style="317" customWidth="1"/>
    <col min="3330" max="3584" width="9.1328125" style="317"/>
    <col min="3585" max="3585" width="176.59765625" style="317" customWidth="1"/>
    <col min="3586" max="3840" width="9.1328125" style="317"/>
    <col min="3841" max="3841" width="176.59765625" style="317" customWidth="1"/>
    <col min="3842" max="4096" width="9.1328125" style="317"/>
    <col min="4097" max="4097" width="176.59765625" style="317" customWidth="1"/>
    <col min="4098" max="4352" width="9.1328125" style="317"/>
    <col min="4353" max="4353" width="176.59765625" style="317" customWidth="1"/>
    <col min="4354" max="4608" width="9.1328125" style="317"/>
    <col min="4609" max="4609" width="176.59765625" style="317" customWidth="1"/>
    <col min="4610" max="4864" width="9.1328125" style="317"/>
    <col min="4865" max="4865" width="176.59765625" style="317" customWidth="1"/>
    <col min="4866" max="5120" width="9.1328125" style="317"/>
    <col min="5121" max="5121" width="176.59765625" style="317" customWidth="1"/>
    <col min="5122" max="5376" width="9.1328125" style="317"/>
    <col min="5377" max="5377" width="176.59765625" style="317" customWidth="1"/>
    <col min="5378" max="5632" width="9.1328125" style="317"/>
    <col min="5633" max="5633" width="176.59765625" style="317" customWidth="1"/>
    <col min="5634" max="5888" width="9.1328125" style="317"/>
    <col min="5889" max="5889" width="176.59765625" style="317" customWidth="1"/>
    <col min="5890" max="6144" width="9.1328125" style="317"/>
    <col min="6145" max="6145" width="176.59765625" style="317" customWidth="1"/>
    <col min="6146" max="6400" width="9.1328125" style="317"/>
    <col min="6401" max="6401" width="176.59765625" style="317" customWidth="1"/>
    <col min="6402" max="6656" width="9.1328125" style="317"/>
    <col min="6657" max="6657" width="176.59765625" style="317" customWidth="1"/>
    <col min="6658" max="6912" width="9.1328125" style="317"/>
    <col min="6913" max="6913" width="176.59765625" style="317" customWidth="1"/>
    <col min="6914" max="7168" width="9.1328125" style="317"/>
    <col min="7169" max="7169" width="176.59765625" style="317" customWidth="1"/>
    <col min="7170" max="7424" width="9.1328125" style="317"/>
    <col min="7425" max="7425" width="176.59765625" style="317" customWidth="1"/>
    <col min="7426" max="7680" width="9.1328125" style="317"/>
    <col min="7681" max="7681" width="176.59765625" style="317" customWidth="1"/>
    <col min="7682" max="7936" width="9.1328125" style="317"/>
    <col min="7937" max="7937" width="176.59765625" style="317" customWidth="1"/>
    <col min="7938" max="8192" width="9.1328125" style="317"/>
    <col min="8193" max="8193" width="176.59765625" style="317" customWidth="1"/>
    <col min="8194" max="8448" width="9.1328125" style="317"/>
    <col min="8449" max="8449" width="176.59765625" style="317" customWidth="1"/>
    <col min="8450" max="8704" width="9.1328125" style="317"/>
    <col min="8705" max="8705" width="176.59765625" style="317" customWidth="1"/>
    <col min="8706" max="8960" width="9.1328125" style="317"/>
    <col min="8961" max="8961" width="176.59765625" style="317" customWidth="1"/>
    <col min="8962" max="9216" width="9.1328125" style="317"/>
    <col min="9217" max="9217" width="176.59765625" style="317" customWidth="1"/>
    <col min="9218" max="9472" width="9.1328125" style="317"/>
    <col min="9473" max="9473" width="176.59765625" style="317" customWidth="1"/>
    <col min="9474" max="9728" width="9.1328125" style="317"/>
    <col min="9729" max="9729" width="176.59765625" style="317" customWidth="1"/>
    <col min="9730" max="9984" width="9.1328125" style="317"/>
    <col min="9985" max="9985" width="176.59765625" style="317" customWidth="1"/>
    <col min="9986" max="10240" width="9.1328125" style="317"/>
    <col min="10241" max="10241" width="176.59765625" style="317" customWidth="1"/>
    <col min="10242" max="10496" width="9.1328125" style="317"/>
    <col min="10497" max="10497" width="176.59765625" style="317" customWidth="1"/>
    <col min="10498" max="10752" width="9.1328125" style="317"/>
    <col min="10753" max="10753" width="176.59765625" style="317" customWidth="1"/>
    <col min="10754" max="11008" width="9.1328125" style="317"/>
    <col min="11009" max="11009" width="176.59765625" style="317" customWidth="1"/>
    <col min="11010" max="11264" width="9.1328125" style="317"/>
    <col min="11265" max="11265" width="176.59765625" style="317" customWidth="1"/>
    <col min="11266" max="11520" width="9.1328125" style="317"/>
    <col min="11521" max="11521" width="176.59765625" style="317" customWidth="1"/>
    <col min="11522" max="11776" width="9.1328125" style="317"/>
    <col min="11777" max="11777" width="176.59765625" style="317" customWidth="1"/>
    <col min="11778" max="12032" width="9.1328125" style="317"/>
    <col min="12033" max="12033" width="176.59765625" style="317" customWidth="1"/>
    <col min="12034" max="12288" width="9.1328125" style="317"/>
    <col min="12289" max="12289" width="176.59765625" style="317" customWidth="1"/>
    <col min="12290" max="12544" width="9.1328125" style="317"/>
    <col min="12545" max="12545" width="176.59765625" style="317" customWidth="1"/>
    <col min="12546" max="12800" width="9.1328125" style="317"/>
    <col min="12801" max="12801" width="176.59765625" style="317" customWidth="1"/>
    <col min="12802" max="13056" width="9.1328125" style="317"/>
    <col min="13057" max="13057" width="176.59765625" style="317" customWidth="1"/>
    <col min="13058" max="13312" width="9.1328125" style="317"/>
    <col min="13313" max="13313" width="176.59765625" style="317" customWidth="1"/>
    <col min="13314" max="13568" width="9.1328125" style="317"/>
    <col min="13569" max="13569" width="176.59765625" style="317" customWidth="1"/>
    <col min="13570" max="13824" width="9.1328125" style="317"/>
    <col min="13825" max="13825" width="176.59765625" style="317" customWidth="1"/>
    <col min="13826" max="14080" width="9.1328125" style="317"/>
    <col min="14081" max="14081" width="176.59765625" style="317" customWidth="1"/>
    <col min="14082" max="14336" width="9.1328125" style="317"/>
    <col min="14337" max="14337" width="176.59765625" style="317" customWidth="1"/>
    <col min="14338" max="14592" width="9.1328125" style="317"/>
    <col min="14593" max="14593" width="176.59765625" style="317" customWidth="1"/>
    <col min="14594" max="14848" width="9.1328125" style="317"/>
    <col min="14849" max="14849" width="176.59765625" style="317" customWidth="1"/>
    <col min="14850" max="15104" width="9.1328125" style="317"/>
    <col min="15105" max="15105" width="176.59765625" style="317" customWidth="1"/>
    <col min="15106" max="15360" width="9.1328125" style="317"/>
    <col min="15361" max="15361" width="176.59765625" style="317" customWidth="1"/>
    <col min="15362" max="15616" width="9.1328125" style="317"/>
    <col min="15617" max="15617" width="176.59765625" style="317" customWidth="1"/>
    <col min="15618" max="15872" width="9.1328125" style="317"/>
    <col min="15873" max="15873" width="176.59765625" style="317" customWidth="1"/>
    <col min="15874" max="16128" width="9.1328125" style="317"/>
    <col min="16129" max="16129" width="176.59765625" style="317" customWidth="1"/>
    <col min="16130" max="16384" width="9.1328125" style="317"/>
  </cols>
  <sheetData>
    <row r="1" spans="1:1" ht="14.65" x14ac:dyDescent="0.4">
      <c r="A1" s="316"/>
    </row>
    <row r="2" spans="1:1" ht="19.899999999999999" x14ac:dyDescent="0.5">
      <c r="A2" s="318" t="s">
        <v>633</v>
      </c>
    </row>
    <row r="3" spans="1:1" ht="14.65" x14ac:dyDescent="0.4">
      <c r="A3" s="319"/>
    </row>
    <row r="4" spans="1:1" ht="14.65" x14ac:dyDescent="0.4">
      <c r="A4" s="319"/>
    </row>
    <row r="5" spans="1:1" ht="29.25" x14ac:dyDescent="0.4">
      <c r="A5" s="319" t="s">
        <v>634</v>
      </c>
    </row>
    <row r="6" spans="1:1" ht="14.65" x14ac:dyDescent="0.4">
      <c r="A6" s="319"/>
    </row>
    <row r="7" spans="1:1" ht="14.65" x14ac:dyDescent="0.4">
      <c r="A7" s="319" t="s">
        <v>635</v>
      </c>
    </row>
    <row r="8" spans="1:1" ht="14.65" x14ac:dyDescent="0.4">
      <c r="A8" s="319"/>
    </row>
    <row r="9" spans="1:1" ht="14.65" x14ac:dyDescent="0.4">
      <c r="A9" s="319" t="s">
        <v>636</v>
      </c>
    </row>
    <row r="10" spans="1:1" ht="14.65" x14ac:dyDescent="0.4">
      <c r="A10" s="319"/>
    </row>
    <row r="11" spans="1:1" ht="14.65" x14ac:dyDescent="0.4">
      <c r="A11" s="319" t="s">
        <v>637</v>
      </c>
    </row>
    <row r="12" spans="1:1" ht="14.65" x14ac:dyDescent="0.4">
      <c r="A12" s="319"/>
    </row>
    <row r="13" spans="1:1" ht="58.5" x14ac:dyDescent="0.4">
      <c r="A13" s="319" t="s">
        <v>638</v>
      </c>
    </row>
    <row r="14" spans="1:1" ht="14.65" x14ac:dyDescent="0.4">
      <c r="A14" s="319"/>
    </row>
    <row r="15" spans="1:1" ht="29.25" x14ac:dyDescent="0.4">
      <c r="A15" s="319" t="s">
        <v>639</v>
      </c>
    </row>
    <row r="16" spans="1:1" ht="14.65" x14ac:dyDescent="0.4">
      <c r="A16" s="319"/>
    </row>
    <row r="17" spans="1:1" ht="29.25" x14ac:dyDescent="0.4">
      <c r="A17" s="319" t="s">
        <v>640</v>
      </c>
    </row>
    <row r="18" spans="1:1" ht="14.65" x14ac:dyDescent="0.4">
      <c r="A18" s="319"/>
    </row>
    <row r="19" spans="1:1" ht="14.65" x14ac:dyDescent="0.4">
      <c r="A19" s="319" t="s">
        <v>641</v>
      </c>
    </row>
    <row r="20" spans="1:1" ht="14.65" x14ac:dyDescent="0.4">
      <c r="A20" s="319"/>
    </row>
    <row r="21" spans="1:1" ht="43.9" x14ac:dyDescent="0.4">
      <c r="A21" s="319" t="s">
        <v>642</v>
      </c>
    </row>
    <row r="22" spans="1:1" ht="14.65" x14ac:dyDescent="0.4">
      <c r="A22" s="319"/>
    </row>
    <row r="23" spans="1:1" ht="14.65" x14ac:dyDescent="0.4">
      <c r="A23" s="319"/>
    </row>
    <row r="24" spans="1:1" ht="43.9" x14ac:dyDescent="0.4">
      <c r="A24" s="319" t="s">
        <v>643</v>
      </c>
    </row>
    <row r="25" spans="1:1" ht="14.65" x14ac:dyDescent="0.4">
      <c r="A25" s="319"/>
    </row>
    <row r="26" spans="1:1" ht="14.65" x14ac:dyDescent="0.4">
      <c r="A26" s="319" t="s">
        <v>644</v>
      </c>
    </row>
    <row r="27" spans="1:1" ht="14.65" x14ac:dyDescent="0.4">
      <c r="A27" s="319"/>
    </row>
    <row r="28" spans="1:1" ht="14.65" x14ac:dyDescent="0.4">
      <c r="A28" s="319" t="s">
        <v>645</v>
      </c>
    </row>
    <row r="29" spans="1:1" ht="14.65" x14ac:dyDescent="0.4">
      <c r="A29" s="319"/>
    </row>
    <row r="30" spans="1:1" ht="29.25" x14ac:dyDescent="0.4">
      <c r="A30" s="319" t="s">
        <v>646</v>
      </c>
    </row>
    <row r="31" spans="1:1" ht="14.65" x14ac:dyDescent="0.4">
      <c r="A31" s="319"/>
    </row>
    <row r="32" spans="1:1" ht="14.65" x14ac:dyDescent="0.4">
      <c r="A32" s="319" t="s">
        <v>647</v>
      </c>
    </row>
    <row r="33" spans="1:1" ht="14.65" x14ac:dyDescent="0.4">
      <c r="A33" s="319"/>
    </row>
    <row r="34" spans="1:1" ht="43.9" x14ac:dyDescent="0.4">
      <c r="A34" s="319" t="s">
        <v>648</v>
      </c>
    </row>
    <row r="35" spans="1:1" ht="14.65" x14ac:dyDescent="0.4">
      <c r="A35" s="319"/>
    </row>
    <row r="36" spans="1:1" ht="29.25" x14ac:dyDescent="0.4">
      <c r="A36" s="319" t="s">
        <v>649</v>
      </c>
    </row>
    <row r="37" spans="1:1" ht="14.65" x14ac:dyDescent="0.4">
      <c r="A37" s="319"/>
    </row>
    <row r="38" spans="1:1" ht="43.9" x14ac:dyDescent="0.4">
      <c r="A38" s="319" t="s">
        <v>650</v>
      </c>
    </row>
    <row r="39" spans="1:1" ht="14.65" x14ac:dyDescent="0.4">
      <c r="A39" s="319"/>
    </row>
    <row r="40" spans="1:1" ht="14.65" x14ac:dyDescent="0.4">
      <c r="A40" s="319" t="s">
        <v>632</v>
      </c>
    </row>
    <row r="41" spans="1:1" ht="14.65" x14ac:dyDescent="0.4">
      <c r="A41" s="319"/>
    </row>
    <row r="42" spans="1:1" ht="14.65" x14ac:dyDescent="0.4">
      <c r="A42" s="319" t="s">
        <v>651</v>
      </c>
    </row>
    <row r="43" spans="1:1" ht="14.65" x14ac:dyDescent="0.4">
      <c r="A43" s="319"/>
    </row>
    <row r="44" spans="1:1" ht="29.25" x14ac:dyDescent="0.4">
      <c r="A44" s="319" t="s">
        <v>652</v>
      </c>
    </row>
    <row r="45" spans="1:1" ht="14.65" x14ac:dyDescent="0.4">
      <c r="A45" s="319"/>
    </row>
    <row r="46" spans="1:1" ht="29.25" x14ac:dyDescent="0.4">
      <c r="A46" s="319" t="s">
        <v>653</v>
      </c>
    </row>
    <row r="47" spans="1:1" ht="14.65" x14ac:dyDescent="0.4">
      <c r="A47" s="319"/>
    </row>
    <row r="48" spans="1:1" ht="14.65" x14ac:dyDescent="0.4">
      <c r="A48" s="319"/>
    </row>
  </sheetData>
  <sheetProtection selectLockedCells="1" selectUnlockedCells="1"/>
  <pageMargins left="0.75" right="0.75" top="1" bottom="1" header="0.5" footer="0.5"/>
  <pageSetup paperSize="9"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1:T49"/>
  <sheetViews>
    <sheetView zoomScale="85" zoomScaleNormal="85" workbookViewId="0">
      <selection activeCell="C12" sqref="C12:R12"/>
    </sheetView>
  </sheetViews>
  <sheetFormatPr defaultColWidth="9.19921875" defaultRowHeight="12.75" x14ac:dyDescent="0.35"/>
  <cols>
    <col min="1" max="1" width="2.46484375" style="1" customWidth="1"/>
    <col min="2" max="2" width="2.265625" style="1" customWidth="1"/>
    <col min="3" max="3" width="4.19921875" style="1" bestFit="1" customWidth="1"/>
    <col min="4" max="8" width="7.46484375" style="1" customWidth="1"/>
    <col min="9" max="9" width="4.796875" style="1" customWidth="1"/>
    <col min="10" max="10" width="4.73046875" style="1" customWidth="1"/>
    <col min="11" max="11" width="2.796875" style="1" customWidth="1"/>
    <col min="12" max="12" width="2.19921875" style="1" customWidth="1"/>
    <col min="13" max="13" width="9.46484375" style="1" customWidth="1"/>
    <col min="14" max="14" width="6.19921875" style="1" customWidth="1"/>
    <col min="15" max="15" width="9.46484375" style="1" customWidth="1"/>
    <col min="16" max="16" width="4" style="1" customWidth="1"/>
    <col min="17" max="17" width="6.19921875" style="1" customWidth="1"/>
    <col min="18" max="18" width="1.53125" style="1" customWidth="1"/>
    <col min="19" max="19" width="4.265625" style="1" customWidth="1"/>
    <col min="20" max="20" width="11" style="1" bestFit="1" customWidth="1"/>
    <col min="21" max="16384" width="9.19921875" style="1"/>
  </cols>
  <sheetData>
    <row r="1" spans="2:19" ht="3.75" customHeight="1" thickBot="1" x14ac:dyDescent="0.4"/>
    <row r="2" spans="2:19" ht="21" thickBot="1" x14ac:dyDescent="0.6">
      <c r="L2" s="85" t="s">
        <v>123</v>
      </c>
      <c r="M2" s="86"/>
      <c r="N2" s="87"/>
      <c r="O2" s="88" t="str">
        <f ca="1">CONCATENATE(RIGHT(YEAR(TODAY()),2),"/")</f>
        <v>24/</v>
      </c>
      <c r="P2" s="512"/>
      <c r="Q2" s="512"/>
      <c r="R2" s="513"/>
    </row>
    <row r="3" spans="2:19" ht="6.75" customHeight="1" thickBot="1" x14ac:dyDescent="0.4"/>
    <row r="4" spans="2:19" s="3" customFormat="1" ht="20.25" customHeight="1" x14ac:dyDescent="0.4">
      <c r="C4" s="89" t="s">
        <v>124</v>
      </c>
      <c r="D4" s="4"/>
      <c r="E4" s="5"/>
      <c r="F4" s="5"/>
      <c r="G4" s="5"/>
      <c r="H4" s="90"/>
      <c r="I4" s="89" t="s">
        <v>125</v>
      </c>
      <c r="J4" s="4"/>
      <c r="K4" s="4"/>
      <c r="L4" s="4"/>
      <c r="M4" s="4"/>
      <c r="N4" s="4"/>
      <c r="O4" s="4"/>
      <c r="P4" s="4"/>
      <c r="Q4" s="4"/>
      <c r="R4" s="6"/>
    </row>
    <row r="5" spans="2:19" ht="12.75" customHeight="1" thickBot="1" x14ac:dyDescent="0.45">
      <c r="C5" s="7"/>
      <c r="E5" s="514" t="s">
        <v>323</v>
      </c>
      <c r="F5" s="514"/>
      <c r="G5" s="514"/>
      <c r="H5" s="515"/>
      <c r="I5" s="7"/>
      <c r="J5" s="516"/>
      <c r="K5" s="516"/>
      <c r="L5" s="516"/>
      <c r="M5" s="516"/>
      <c r="N5" s="516"/>
      <c r="O5" s="516"/>
      <c r="P5" s="518"/>
      <c r="Q5" s="510" t="s">
        <v>126</v>
      </c>
      <c r="R5" s="511"/>
    </row>
    <row r="6" spans="2:19" ht="12.75" customHeight="1" thickBot="1" x14ac:dyDescent="0.4">
      <c r="C6" s="7"/>
      <c r="E6" s="506" t="s">
        <v>0</v>
      </c>
      <c r="F6" s="506"/>
      <c r="G6" s="506"/>
      <c r="H6" s="507"/>
      <c r="I6" s="7"/>
      <c r="J6" s="517"/>
      <c r="K6" s="517"/>
      <c r="L6" s="517"/>
      <c r="M6" s="517"/>
      <c r="N6" s="517"/>
      <c r="O6" s="517"/>
      <c r="P6" s="519"/>
      <c r="Q6" s="510"/>
      <c r="R6" s="511"/>
    </row>
    <row r="7" spans="2:19" ht="12.75" customHeight="1" thickBot="1" x14ac:dyDescent="0.4">
      <c r="C7" s="7"/>
      <c r="E7" s="506" t="s">
        <v>1</v>
      </c>
      <c r="F7" s="506"/>
      <c r="G7" s="506"/>
      <c r="H7" s="507"/>
      <c r="I7" s="7"/>
      <c r="J7" s="508"/>
      <c r="K7" s="508"/>
      <c r="L7" s="508"/>
      <c r="M7" s="508"/>
      <c r="N7" s="508"/>
      <c r="O7" s="508"/>
      <c r="P7" s="509"/>
      <c r="Q7" s="510" t="s">
        <v>127</v>
      </c>
      <c r="R7" s="511"/>
    </row>
    <row r="8" spans="2:19" ht="12.75" customHeight="1" thickBot="1" x14ac:dyDescent="0.4">
      <c r="C8" s="7"/>
      <c r="E8" s="506" t="s">
        <v>2</v>
      </c>
      <c r="F8" s="506"/>
      <c r="G8" s="506"/>
      <c r="H8" s="507"/>
      <c r="I8" s="7"/>
      <c r="J8" s="508"/>
      <c r="K8" s="508"/>
      <c r="L8" s="508"/>
      <c r="M8" s="508"/>
      <c r="N8" s="508"/>
      <c r="O8" s="508"/>
      <c r="P8" s="509"/>
      <c r="Q8" s="510"/>
      <c r="R8" s="511"/>
    </row>
    <row r="9" spans="2:19" ht="12.75" customHeight="1" thickBot="1" x14ac:dyDescent="0.4">
      <c r="C9" s="7"/>
      <c r="E9" s="506" t="s">
        <v>334</v>
      </c>
      <c r="F9" s="506"/>
      <c r="G9" s="506"/>
      <c r="H9" s="507"/>
      <c r="I9" s="7"/>
      <c r="J9" s="508"/>
      <c r="K9" s="508"/>
      <c r="L9" s="508"/>
      <c r="M9" s="508"/>
      <c r="N9" s="508"/>
      <c r="O9" s="508"/>
      <c r="P9" s="509"/>
      <c r="Q9" s="510" t="s">
        <v>128</v>
      </c>
      <c r="R9" s="511"/>
    </row>
    <row r="10" spans="2:19" ht="12.75" customHeight="1" thickBot="1" x14ac:dyDescent="0.4">
      <c r="C10" s="7"/>
      <c r="E10" s="506" t="s">
        <v>335</v>
      </c>
      <c r="F10" s="506"/>
      <c r="G10" s="506"/>
      <c r="H10" s="507"/>
      <c r="I10" s="7"/>
      <c r="J10" s="508"/>
      <c r="K10" s="508"/>
      <c r="L10" s="508"/>
      <c r="M10" s="508"/>
      <c r="N10" s="508"/>
      <c r="O10" s="508"/>
      <c r="P10" s="509"/>
      <c r="Q10" s="510"/>
      <c r="R10" s="511"/>
    </row>
    <row r="11" spans="2:19" ht="4.25" customHeight="1" thickBot="1" x14ac:dyDescent="0.45">
      <c r="C11" s="8"/>
      <c r="D11" s="2"/>
      <c r="E11" s="91"/>
      <c r="F11" s="2"/>
      <c r="G11" s="2"/>
      <c r="H11" s="9"/>
      <c r="I11" s="8"/>
      <c r="J11" s="502"/>
      <c r="K11" s="502"/>
      <c r="L11" s="502"/>
      <c r="M11" s="502"/>
      <c r="N11" s="502"/>
      <c r="O11" s="502"/>
      <c r="P11" s="10"/>
      <c r="Q11" s="10"/>
      <c r="R11" s="9"/>
    </row>
    <row r="12" spans="2:19" s="92" customFormat="1" ht="24.4" customHeight="1" thickBot="1" x14ac:dyDescent="0.6">
      <c r="C12" s="503" t="s">
        <v>129</v>
      </c>
      <c r="D12" s="504"/>
      <c r="E12" s="504"/>
      <c r="F12" s="504"/>
      <c r="G12" s="504"/>
      <c r="H12" s="504"/>
      <c r="I12" s="504"/>
      <c r="J12" s="504"/>
      <c r="K12" s="504"/>
      <c r="L12" s="504"/>
      <c r="M12" s="504"/>
      <c r="N12" s="504"/>
      <c r="O12" s="504"/>
      <c r="P12" s="504"/>
      <c r="Q12" s="504"/>
      <c r="R12" s="505"/>
    </row>
    <row r="13" spans="2:19" s="15" customFormat="1" ht="24.4" customHeight="1" thickBot="1" x14ac:dyDescent="0.4">
      <c r="B13" s="12"/>
      <c r="C13" s="13" t="s">
        <v>3</v>
      </c>
      <c r="D13" s="409" t="s">
        <v>4</v>
      </c>
      <c r="E13" s="410"/>
      <c r="F13" s="410"/>
      <c r="G13" s="410"/>
      <c r="H13" s="410"/>
      <c r="I13" s="410"/>
      <c r="J13" s="411"/>
      <c r="K13" s="428" t="s">
        <v>5</v>
      </c>
      <c r="L13" s="428"/>
      <c r="M13" s="14" t="s">
        <v>130</v>
      </c>
      <c r="N13" s="14" t="str">
        <f>IF(N15="",IF(N16="",IF(N17="","","Kedv."),"Kedv."),"Kedv.")</f>
        <v>Kedv.</v>
      </c>
      <c r="O13" s="14" t="s">
        <v>7</v>
      </c>
      <c r="P13" s="428" t="s">
        <v>8</v>
      </c>
      <c r="Q13" s="428"/>
      <c r="R13" s="433"/>
      <c r="S13" s="12"/>
    </row>
    <row r="14" spans="2:19" s="17" customFormat="1" ht="21.75" customHeight="1" x14ac:dyDescent="0.3">
      <c r="B14" s="16"/>
      <c r="C14" s="423" t="str">
        <f>'Garázskapu árkalkulátor'!C13:R13</f>
        <v>ÉVES AKCIÓS Hörmann szekcionált garázskapu ajánlat</v>
      </c>
      <c r="D14" s="424"/>
      <c r="E14" s="424"/>
      <c r="F14" s="424"/>
      <c r="G14" s="424"/>
      <c r="H14" s="424"/>
      <c r="I14" s="424"/>
      <c r="J14" s="424"/>
      <c r="K14" s="424"/>
      <c r="L14" s="424"/>
      <c r="M14" s="424"/>
      <c r="N14" s="424"/>
      <c r="O14" s="424"/>
      <c r="P14" s="424"/>
      <c r="Q14" s="424"/>
      <c r="R14" s="498"/>
      <c r="S14" s="16"/>
    </row>
    <row r="15" spans="2:19" s="17" customFormat="1" ht="22.5" customHeight="1" x14ac:dyDescent="0.3">
      <c r="B15" s="16"/>
      <c r="C15" s="18">
        <f>'Garázskapu árkalkulátor'!C14</f>
        <v>1</v>
      </c>
      <c r="D15" s="499" t="str">
        <f ca="1">'Garázskapu árkalkulátor'!D14:J14</f>
        <v xml:space="preserve">5500x2125 mm 4,2 cm szigetelésű Renomatic M bordás woodgrain felületű garázskapu torziórugós sínvezetéssel (ÉVES AKCIÓS ÁR!) </v>
      </c>
      <c r="E15" s="500"/>
      <c r="F15" s="500"/>
      <c r="G15" s="500"/>
      <c r="H15" s="500"/>
      <c r="I15" s="500"/>
      <c r="J15" s="501"/>
      <c r="K15" s="485">
        <f>IF('Garázskapu árkalkulátor'!K14:L14="","",'Garázskapu árkalkulátor'!K14:L14)</f>
        <v>1</v>
      </c>
      <c r="L15" s="485"/>
      <c r="M15" s="93">
        <f ca="1">IF('Garázskapu árkalkulátor'!M14="","",'Garázskapu árkalkulátor'!M14)</f>
        <v>575512</v>
      </c>
      <c r="N15" s="208" t="str">
        <f>IF('Garázskapu árkalkulátor'!N14="","",'Garázskapu árkalkulátor'!N14)</f>
        <v>AKCIÓS ÁR</v>
      </c>
      <c r="O15" s="93">
        <f ca="1">IF(N15="",M15,IF(OR(N15="AKCIÓS ÁR",N15=""),M15,IF(M15="","",M15*(1-N15))))</f>
        <v>575512</v>
      </c>
      <c r="P15" s="486">
        <f ca="1">IF(K15="","",ROUND(M15*(1-IF(OR(N15="AKCIÓS ÁR",N15=""),0,N15)),0)*K15)</f>
        <v>575512</v>
      </c>
      <c r="Q15" s="486"/>
      <c r="R15" s="487"/>
      <c r="S15" s="16"/>
    </row>
    <row r="16" spans="2:19" s="17" customFormat="1" ht="22.5" customHeight="1" x14ac:dyDescent="0.3">
      <c r="B16" s="16"/>
      <c r="C16" s="19" t="str">
        <f>IF('Garázskapu árkalkulátor'!C15="","",'Garázskapu árkalkulátor'!C15)</f>
        <v/>
      </c>
      <c r="D16" s="344" t="str">
        <f>'Garázskapu árkalkulátor'!D15:J15</f>
        <v/>
      </c>
      <c r="E16" s="345"/>
      <c r="F16" s="345"/>
      <c r="G16" s="345"/>
      <c r="H16" s="345"/>
      <c r="I16" s="345"/>
      <c r="J16" s="346"/>
      <c r="K16" s="485" t="str">
        <f>IF('Garázskapu árkalkulátor'!K15:L15="","",'Garázskapu árkalkulátor'!K15:L15)</f>
        <v/>
      </c>
      <c r="L16" s="485"/>
      <c r="M16" s="93" t="str">
        <f>IF('Garázskapu árkalkulátor'!M15="","",'Garázskapu árkalkulátor'!M15)</f>
        <v/>
      </c>
      <c r="N16" s="94" t="str">
        <f>IF('Garázskapu árkalkulátor'!N15="","",'Garázskapu árkalkulátor'!N15)</f>
        <v/>
      </c>
      <c r="O16" s="93" t="str">
        <f t="shared" ref="O16:O30" si="0">IF(N16="",M16,IF(N16="",M16,IF(M16="","",M16*(1-N16))))</f>
        <v/>
      </c>
      <c r="P16" s="486" t="str">
        <f t="shared" ref="P16:P27" si="1">IF(K16="","",ROUND(M16*(1-IF(N16="",0,N16)),0)*K16)</f>
        <v/>
      </c>
      <c r="Q16" s="486"/>
      <c r="R16" s="487"/>
      <c r="S16" s="16"/>
    </row>
    <row r="17" spans="2:19" s="17" customFormat="1" ht="22.5" customHeight="1" x14ac:dyDescent="0.3">
      <c r="B17" s="16"/>
      <c r="C17" s="19">
        <f ca="1">IF('Garázskapu árkalkulátor'!C16="","",'Garázskapu árkalkulátor'!C16)</f>
        <v>2</v>
      </c>
      <c r="D17" s="344" t="str">
        <f ca="1">'Garázskapu árkalkulátor'!D16:J16</f>
        <v>Supramatic 4 E motor, 1 db HSE4 BS távadóval (motor AKCIÓS ÁRÁT A KAPU ÁRA TARTALMAZZA)</v>
      </c>
      <c r="E17" s="345"/>
      <c r="F17" s="345"/>
      <c r="G17" s="345"/>
      <c r="H17" s="345"/>
      <c r="I17" s="345"/>
      <c r="J17" s="346"/>
      <c r="K17" s="485">
        <f>IF('Garázskapu árkalkulátor'!K16:L16="","",'Garázskapu árkalkulátor'!K16:L16)</f>
        <v>1</v>
      </c>
      <c r="L17" s="485"/>
      <c r="M17" s="93">
        <f>IF('Garázskapu árkalkulátor'!M16="","",'Garázskapu árkalkulátor'!M16)</f>
        <v>0</v>
      </c>
      <c r="N17" s="208" t="str">
        <f ca="1">IF('Garázskapu árkalkulátor'!N16="","",'Garázskapu árkalkulátor'!N16)</f>
        <v>AKCIÓS ÁR</v>
      </c>
      <c r="O17" s="93">
        <f ca="1">IF(N17="",M17,IF(OR(N17="AKCIÓS ÁR",N17=""),M17,IF(M17="","",M17*(1-N17))))</f>
        <v>0</v>
      </c>
      <c r="P17" s="486">
        <f ca="1">IF(K17="","",ROUND(M17*(1-IF(OR(N17="AKCIÓS ÁR",N17=""),0,N17)),0)*K17)</f>
        <v>0</v>
      </c>
      <c r="Q17" s="486"/>
      <c r="R17" s="487"/>
      <c r="S17" s="16"/>
    </row>
    <row r="18" spans="2:19" s="17" customFormat="1" ht="22.5" customHeight="1" x14ac:dyDescent="0.3">
      <c r="B18" s="16"/>
      <c r="C18" s="19" t="str">
        <f>IF('Garázskapu árkalkulátor'!C17="","",'Garázskapu árkalkulátor'!C17)</f>
        <v/>
      </c>
      <c r="D18" s="344" t="str">
        <f>IF('Garázskapu árkalkulátor'!D17:J17="","",'Garázskapu árkalkulátor'!D17:J17)</f>
        <v/>
      </c>
      <c r="E18" s="345"/>
      <c r="F18" s="345"/>
      <c r="G18" s="345"/>
      <c r="H18" s="345"/>
      <c r="I18" s="345"/>
      <c r="J18" s="346"/>
      <c r="K18" s="485" t="str">
        <f>IF('Garázskapu árkalkulátor'!K17:L17="","",'Garázskapu árkalkulátor'!K17:L17)</f>
        <v/>
      </c>
      <c r="L18" s="485"/>
      <c r="M18" s="93" t="str">
        <f>IF('Garázskapu árkalkulátor'!M17="","",'Garázskapu árkalkulátor'!M17)</f>
        <v/>
      </c>
      <c r="N18" s="94" t="str">
        <f>IF('Garázskapu árkalkulátor'!N17="","",'Garázskapu árkalkulátor'!N17)</f>
        <v/>
      </c>
      <c r="O18" s="93" t="str">
        <f t="shared" si="0"/>
        <v/>
      </c>
      <c r="P18" s="486" t="str">
        <f t="shared" si="1"/>
        <v/>
      </c>
      <c r="Q18" s="486"/>
      <c r="R18" s="487"/>
      <c r="S18" s="16"/>
    </row>
    <row r="19" spans="2:19" s="17" customFormat="1" ht="22.5" customHeight="1" x14ac:dyDescent="0.3">
      <c r="B19" s="16"/>
      <c r="C19" s="19" t="str">
        <f>IF('Garázskapu árkalkulátor'!C18="","",'Garázskapu árkalkulátor'!C18)</f>
        <v/>
      </c>
      <c r="D19" s="344" t="str">
        <f>IF('Garázskapu árkalkulátor'!D18:J18="","",'Garázskapu árkalkulátor'!D18:J18)</f>
        <v/>
      </c>
      <c r="E19" s="345"/>
      <c r="F19" s="345"/>
      <c r="G19" s="345"/>
      <c r="H19" s="345"/>
      <c r="I19" s="345"/>
      <c r="J19" s="346"/>
      <c r="K19" s="485" t="str">
        <f>IF('Garázskapu árkalkulátor'!K18:L18="","",'Garázskapu árkalkulátor'!K18:L18)</f>
        <v/>
      </c>
      <c r="L19" s="485"/>
      <c r="M19" s="93" t="str">
        <f>IF('Garázskapu árkalkulátor'!M18="","",'Garázskapu árkalkulátor'!M18)</f>
        <v/>
      </c>
      <c r="N19" s="94" t="str">
        <f>IF('Garázskapu árkalkulátor'!N18="","",'Garázskapu árkalkulátor'!N18)</f>
        <v/>
      </c>
      <c r="O19" s="93" t="str">
        <f t="shared" si="0"/>
        <v/>
      </c>
      <c r="P19" s="486" t="str">
        <f t="shared" si="1"/>
        <v/>
      </c>
      <c r="Q19" s="486"/>
      <c r="R19" s="487"/>
      <c r="S19" s="16"/>
    </row>
    <row r="20" spans="2:19" s="17" customFormat="1" ht="22.5" customHeight="1" x14ac:dyDescent="0.3">
      <c r="B20" s="16"/>
      <c r="C20" s="19" t="str">
        <f>IF('Garázskapu árkalkulátor'!C19="","",'Garázskapu árkalkulátor'!C19)</f>
        <v/>
      </c>
      <c r="D20" s="344" t="str">
        <f>IF('Garázskapu árkalkulátor'!D19:J19="","",'Garázskapu árkalkulátor'!D19:J19)</f>
        <v/>
      </c>
      <c r="E20" s="345"/>
      <c r="F20" s="345"/>
      <c r="G20" s="345"/>
      <c r="H20" s="345"/>
      <c r="I20" s="345"/>
      <c r="J20" s="346"/>
      <c r="K20" s="485" t="str">
        <f>IF('Garázskapu árkalkulátor'!K19:L19="","",'Garázskapu árkalkulátor'!K19:L19)</f>
        <v/>
      </c>
      <c r="L20" s="485"/>
      <c r="M20" s="93" t="str">
        <f>IF('Garázskapu árkalkulátor'!M19="","",'Garázskapu árkalkulátor'!M19)</f>
        <v/>
      </c>
      <c r="N20" s="94" t="str">
        <f>IF('Garázskapu árkalkulátor'!N19="","",'Garázskapu árkalkulátor'!N19)</f>
        <v/>
      </c>
      <c r="O20" s="93" t="str">
        <f t="shared" si="0"/>
        <v/>
      </c>
      <c r="P20" s="486" t="str">
        <f t="shared" si="1"/>
        <v/>
      </c>
      <c r="Q20" s="486"/>
      <c r="R20" s="487"/>
      <c r="S20" s="16"/>
    </row>
    <row r="21" spans="2:19" s="17" customFormat="1" ht="22.5" customHeight="1" x14ac:dyDescent="0.3">
      <c r="B21" s="16"/>
      <c r="C21" s="19" t="str">
        <f>IF('Garázskapu árkalkulátor'!C20="","",'Garázskapu árkalkulátor'!C20)</f>
        <v/>
      </c>
      <c r="D21" s="344" t="str">
        <f>IF('Garázskapu árkalkulátor'!D20:J20="","",'Garázskapu árkalkulátor'!D20:J20)</f>
        <v/>
      </c>
      <c r="E21" s="345"/>
      <c r="F21" s="345"/>
      <c r="G21" s="345"/>
      <c r="H21" s="345"/>
      <c r="I21" s="345"/>
      <c r="J21" s="346"/>
      <c r="K21" s="485" t="str">
        <f>IF('Garázskapu árkalkulátor'!K20:L20="","",'Garázskapu árkalkulátor'!K20:L20)</f>
        <v/>
      </c>
      <c r="L21" s="485"/>
      <c r="M21" s="93" t="str">
        <f>IF('Garázskapu árkalkulátor'!M20="","",'Garázskapu árkalkulátor'!M20)</f>
        <v/>
      </c>
      <c r="N21" s="94" t="str">
        <f>IF('Garázskapu árkalkulátor'!N20="","",'Garázskapu árkalkulátor'!N20)</f>
        <v/>
      </c>
      <c r="O21" s="93" t="str">
        <f t="shared" si="0"/>
        <v/>
      </c>
      <c r="P21" s="486" t="str">
        <f t="shared" si="1"/>
        <v/>
      </c>
      <c r="Q21" s="486"/>
      <c r="R21" s="487"/>
      <c r="S21" s="16"/>
    </row>
    <row r="22" spans="2:19" s="17" customFormat="1" ht="22.5" customHeight="1" x14ac:dyDescent="0.3">
      <c r="B22" s="16"/>
      <c r="C22" s="19" t="str">
        <f>IF('Garázskapu árkalkulátor'!C21="","",'Garázskapu árkalkulátor'!C21)</f>
        <v/>
      </c>
      <c r="D22" s="344" t="str">
        <f>IF('Garázskapu árkalkulátor'!D21:J21="","",'Garázskapu árkalkulátor'!D21:J21)</f>
        <v/>
      </c>
      <c r="E22" s="345"/>
      <c r="F22" s="345"/>
      <c r="G22" s="345"/>
      <c r="H22" s="345"/>
      <c r="I22" s="345"/>
      <c r="J22" s="346"/>
      <c r="K22" s="485" t="str">
        <f>IF('Garázskapu árkalkulátor'!K21:L21="","",'Garázskapu árkalkulátor'!K21:L21)</f>
        <v/>
      </c>
      <c r="L22" s="485"/>
      <c r="M22" s="93" t="str">
        <f>IF('Garázskapu árkalkulátor'!M21="","",'Garázskapu árkalkulátor'!M21)</f>
        <v/>
      </c>
      <c r="N22" s="94" t="str">
        <f>IF('Garázskapu árkalkulátor'!N21="","",'Garázskapu árkalkulátor'!N21)</f>
        <v/>
      </c>
      <c r="O22" s="93" t="str">
        <f t="shared" si="0"/>
        <v/>
      </c>
      <c r="P22" s="486" t="str">
        <f t="shared" si="1"/>
        <v/>
      </c>
      <c r="Q22" s="486"/>
      <c r="R22" s="487"/>
      <c r="S22" s="16"/>
    </row>
    <row r="23" spans="2:19" s="17" customFormat="1" ht="22.5" customHeight="1" x14ac:dyDescent="0.3">
      <c r="B23" s="16"/>
      <c r="C23" s="19" t="str">
        <f>IF('Garázskapu árkalkulátor'!C22="","",'Garázskapu árkalkulátor'!C22)</f>
        <v/>
      </c>
      <c r="D23" s="344" t="str">
        <f>IF('Garázskapu árkalkulátor'!D22:J22="","",'Garázskapu árkalkulátor'!D22:J22)</f>
        <v/>
      </c>
      <c r="E23" s="345"/>
      <c r="F23" s="345"/>
      <c r="G23" s="345"/>
      <c r="H23" s="345"/>
      <c r="I23" s="345"/>
      <c r="J23" s="346"/>
      <c r="K23" s="485" t="str">
        <f>IF('Garázskapu árkalkulátor'!K22:L22="","",'Garázskapu árkalkulátor'!K22:L22)</f>
        <v/>
      </c>
      <c r="L23" s="485"/>
      <c r="M23" s="93" t="str">
        <f>IF('Garázskapu árkalkulátor'!M22="","",'Garázskapu árkalkulátor'!M22)</f>
        <v/>
      </c>
      <c r="N23" s="94" t="str">
        <f>IF('Garázskapu árkalkulátor'!N22="","",'Garázskapu árkalkulátor'!N22)</f>
        <v/>
      </c>
      <c r="O23" s="93" t="str">
        <f t="shared" si="0"/>
        <v/>
      </c>
      <c r="P23" s="486" t="str">
        <f t="shared" si="1"/>
        <v/>
      </c>
      <c r="Q23" s="486"/>
      <c r="R23" s="487"/>
      <c r="S23" s="16"/>
    </row>
    <row r="24" spans="2:19" s="17" customFormat="1" ht="22.5" customHeight="1" x14ac:dyDescent="0.3">
      <c r="B24" s="16"/>
      <c r="C24" s="19" t="str">
        <f>IF('Garázskapu árkalkulátor'!C23="","",'Garázskapu árkalkulátor'!C23)</f>
        <v/>
      </c>
      <c r="D24" s="344" t="str">
        <f>IF('Garázskapu árkalkulátor'!D23:J23="","",'Garázskapu árkalkulátor'!D23:J23)</f>
        <v/>
      </c>
      <c r="E24" s="345"/>
      <c r="F24" s="345"/>
      <c r="G24" s="345"/>
      <c r="H24" s="345"/>
      <c r="I24" s="345"/>
      <c r="J24" s="346"/>
      <c r="K24" s="485" t="str">
        <f>IF('Garázskapu árkalkulátor'!K23:L23="","",'Garázskapu árkalkulátor'!K23:L23)</f>
        <v/>
      </c>
      <c r="L24" s="485"/>
      <c r="M24" s="93" t="str">
        <f>IF('Garázskapu árkalkulátor'!M23="","",'Garázskapu árkalkulátor'!M23)</f>
        <v/>
      </c>
      <c r="N24" s="94" t="str">
        <f>IF('Garázskapu árkalkulátor'!N23="","",'Garázskapu árkalkulátor'!N23)</f>
        <v/>
      </c>
      <c r="O24" s="93" t="str">
        <f t="shared" si="0"/>
        <v/>
      </c>
      <c r="P24" s="486" t="str">
        <f t="shared" si="1"/>
        <v/>
      </c>
      <c r="Q24" s="486"/>
      <c r="R24" s="487"/>
      <c r="S24" s="16"/>
    </row>
    <row r="25" spans="2:19" s="17" customFormat="1" ht="22.5" customHeight="1" x14ac:dyDescent="0.3">
      <c r="B25" s="16"/>
      <c r="C25" s="19" t="str">
        <f>IF('Garázskapu árkalkulátor'!C24="","",'Garázskapu árkalkulátor'!C24)</f>
        <v/>
      </c>
      <c r="D25" s="344" t="str">
        <f>IF('Garázskapu árkalkulátor'!D24:J24="","",'Garázskapu árkalkulátor'!D24:J24)</f>
        <v/>
      </c>
      <c r="E25" s="345"/>
      <c r="F25" s="345"/>
      <c r="G25" s="345"/>
      <c r="H25" s="345"/>
      <c r="I25" s="345"/>
      <c r="J25" s="346"/>
      <c r="K25" s="485" t="str">
        <f>IF('Garázskapu árkalkulátor'!K24:L24="","",'Garázskapu árkalkulátor'!K24:L24)</f>
        <v/>
      </c>
      <c r="L25" s="485"/>
      <c r="M25" s="93" t="str">
        <f>IF('Garázskapu árkalkulátor'!M24="","",'Garázskapu árkalkulátor'!M24)</f>
        <v/>
      </c>
      <c r="N25" s="94" t="str">
        <f>IF('Garázskapu árkalkulátor'!N24="","",'Garázskapu árkalkulátor'!N24)</f>
        <v/>
      </c>
      <c r="O25" s="93" t="str">
        <f t="shared" si="0"/>
        <v/>
      </c>
      <c r="P25" s="486" t="str">
        <f t="shared" si="1"/>
        <v/>
      </c>
      <c r="Q25" s="486"/>
      <c r="R25" s="487"/>
      <c r="S25" s="16"/>
    </row>
    <row r="26" spans="2:19" s="17" customFormat="1" ht="22.5" customHeight="1" x14ac:dyDescent="0.3">
      <c r="B26" s="16"/>
      <c r="C26" s="19" t="str">
        <f>IF('Garázskapu árkalkulátor'!C25="","",'Garázskapu árkalkulátor'!C25)</f>
        <v/>
      </c>
      <c r="D26" s="344" t="str">
        <f>IF('Garázskapu árkalkulátor'!D25:J25="","",'Garázskapu árkalkulátor'!D25:J25)</f>
        <v/>
      </c>
      <c r="E26" s="345"/>
      <c r="F26" s="345"/>
      <c r="G26" s="345"/>
      <c r="H26" s="345"/>
      <c r="I26" s="345"/>
      <c r="J26" s="346"/>
      <c r="K26" s="485" t="str">
        <f>IF('Garázskapu árkalkulátor'!K25:L25="","",'Garázskapu árkalkulátor'!K25:L25)</f>
        <v/>
      </c>
      <c r="L26" s="485"/>
      <c r="M26" s="93" t="str">
        <f>IF('Garázskapu árkalkulátor'!M25="","",'Garázskapu árkalkulátor'!M25)</f>
        <v/>
      </c>
      <c r="N26" s="94" t="str">
        <f>IF('Garázskapu árkalkulátor'!N25="","",'Garázskapu árkalkulátor'!N25)</f>
        <v/>
      </c>
      <c r="O26" s="93" t="str">
        <f t="shared" si="0"/>
        <v/>
      </c>
      <c r="P26" s="486" t="str">
        <f t="shared" si="1"/>
        <v/>
      </c>
      <c r="Q26" s="486"/>
      <c r="R26" s="487"/>
      <c r="S26" s="16"/>
    </row>
    <row r="27" spans="2:19" s="17" customFormat="1" ht="22.5" customHeight="1" x14ac:dyDescent="0.3">
      <c r="B27" s="16"/>
      <c r="C27" s="19" t="str">
        <f>IF('Garázskapu árkalkulátor'!C26="","",'Garázskapu árkalkulátor'!C26)</f>
        <v/>
      </c>
      <c r="D27" s="344" t="str">
        <f>IF('Garázskapu árkalkulátor'!D26:J26="","",'Garázskapu árkalkulátor'!D26:J26)</f>
        <v/>
      </c>
      <c r="E27" s="345"/>
      <c r="F27" s="345"/>
      <c r="G27" s="345"/>
      <c r="H27" s="345"/>
      <c r="I27" s="345"/>
      <c r="J27" s="346"/>
      <c r="K27" s="485" t="str">
        <f>IF('Garázskapu árkalkulátor'!K26:L26="","",'Garázskapu árkalkulátor'!K26:L26)</f>
        <v/>
      </c>
      <c r="L27" s="485"/>
      <c r="M27" s="93" t="str">
        <f>IF('Garázskapu árkalkulátor'!M26="","",'Garázskapu árkalkulátor'!M26)</f>
        <v/>
      </c>
      <c r="N27" s="94" t="str">
        <f>IF('Garázskapu árkalkulátor'!N26="","",'Garázskapu árkalkulátor'!N26)</f>
        <v/>
      </c>
      <c r="O27" s="93" t="str">
        <f t="shared" si="0"/>
        <v/>
      </c>
      <c r="P27" s="486" t="str">
        <f t="shared" si="1"/>
        <v/>
      </c>
      <c r="Q27" s="486"/>
      <c r="R27" s="487"/>
      <c r="S27" s="16"/>
    </row>
    <row r="28" spans="2:19" s="17" customFormat="1" ht="22.5" customHeight="1" x14ac:dyDescent="0.3">
      <c r="B28" s="16"/>
      <c r="C28" s="19" t="str">
        <f>IF('Garázskapu árkalkulátor'!C27="","",'Garázskapu árkalkulátor'!C27)</f>
        <v/>
      </c>
      <c r="D28" s="344" t="str">
        <f>IF('Garázskapu árkalkulátor'!D27:J27="","",'Garázskapu árkalkulátor'!D27:J27)</f>
        <v/>
      </c>
      <c r="E28" s="345"/>
      <c r="F28" s="345"/>
      <c r="G28" s="345"/>
      <c r="H28" s="345"/>
      <c r="I28" s="345"/>
      <c r="J28" s="346"/>
      <c r="K28" s="485" t="str">
        <f>IF('Garázskapu árkalkulátor'!K27:L27="","",'Garázskapu árkalkulátor'!K27:L27)</f>
        <v/>
      </c>
      <c r="L28" s="485"/>
      <c r="M28" s="93" t="str">
        <f>IF('Garázskapu árkalkulátor'!M27="","",'Garázskapu árkalkulátor'!M27)</f>
        <v/>
      </c>
      <c r="N28" s="94" t="str">
        <f>IF('Garázskapu árkalkulátor'!N27="","",'Garázskapu árkalkulátor'!N27)</f>
        <v/>
      </c>
      <c r="O28" s="93" t="str">
        <f t="shared" si="0"/>
        <v/>
      </c>
      <c r="P28" s="486" t="str">
        <f>IF(K28="","",ROUND(M28*(1-IF(N28="",0,N28)),0)*K28)</f>
        <v/>
      </c>
      <c r="Q28" s="486"/>
      <c r="R28" s="487"/>
      <c r="S28" s="16"/>
    </row>
    <row r="29" spans="2:19" s="17" customFormat="1" ht="22.5" customHeight="1" x14ac:dyDescent="0.3">
      <c r="B29" s="16"/>
      <c r="C29" s="19" t="str">
        <f>IF('Garázskapu árkalkulátor'!C28="","",'Garázskapu árkalkulátor'!C28)</f>
        <v/>
      </c>
      <c r="D29" s="344" t="str">
        <f>IF('Garázskapu árkalkulátor'!D28:J28="","",'Garázskapu árkalkulátor'!D28:J28)</f>
        <v/>
      </c>
      <c r="E29" s="345"/>
      <c r="F29" s="345"/>
      <c r="G29" s="345"/>
      <c r="H29" s="345"/>
      <c r="I29" s="345"/>
      <c r="J29" s="346"/>
      <c r="K29" s="485" t="str">
        <f>IF('Garázskapu árkalkulátor'!K28:L28="","",'Garázskapu árkalkulátor'!K28:L28)</f>
        <v/>
      </c>
      <c r="L29" s="485"/>
      <c r="M29" s="93" t="str">
        <f>IF('Garázskapu árkalkulátor'!M28="","",'Garázskapu árkalkulátor'!M28)</f>
        <v/>
      </c>
      <c r="N29" s="94" t="str">
        <f>IF('Garázskapu árkalkulátor'!N28="","",'Garázskapu árkalkulátor'!N28)</f>
        <v/>
      </c>
      <c r="O29" s="93" t="str">
        <f t="shared" si="0"/>
        <v/>
      </c>
      <c r="P29" s="486" t="str">
        <f>IF(K29="","",ROUND(M29*(1-IF(N29="",0,N29)),0)*K29)</f>
        <v/>
      </c>
      <c r="Q29" s="486"/>
      <c r="R29" s="487"/>
      <c r="S29" s="16"/>
    </row>
    <row r="30" spans="2:19" s="17" customFormat="1" ht="22.5" customHeight="1" x14ac:dyDescent="0.3">
      <c r="B30" s="16"/>
      <c r="C30" s="19" t="str">
        <f>IF('Garázskapu árkalkulátor'!C29="","",'Garázskapu árkalkulátor'!C29)</f>
        <v/>
      </c>
      <c r="D30" s="344" t="str">
        <f>IF('Garázskapu árkalkulátor'!D29:J29="","",'Garázskapu árkalkulátor'!D29:J29)</f>
        <v/>
      </c>
      <c r="E30" s="345"/>
      <c r="F30" s="345"/>
      <c r="G30" s="345"/>
      <c r="H30" s="345"/>
      <c r="I30" s="345"/>
      <c r="J30" s="346"/>
      <c r="K30" s="485" t="str">
        <f>IF('Garázskapu árkalkulátor'!K29:L29="","",'Garázskapu árkalkulátor'!K29:L29)</f>
        <v/>
      </c>
      <c r="L30" s="485"/>
      <c r="M30" s="93" t="str">
        <f>IF('Garázskapu árkalkulátor'!M29="","",'Garázskapu árkalkulátor'!M29)</f>
        <v/>
      </c>
      <c r="N30" s="94" t="str">
        <f>IF('Garázskapu árkalkulátor'!N29="","",'Garázskapu árkalkulátor'!N29)</f>
        <v/>
      </c>
      <c r="O30" s="93" t="str">
        <f t="shared" si="0"/>
        <v/>
      </c>
      <c r="P30" s="486" t="str">
        <f>IF(K30="","",ROUND(M30*(1-IF(N30="",0,N30)),0)*K30)</f>
        <v/>
      </c>
      <c r="Q30" s="486"/>
      <c r="R30" s="487"/>
      <c r="S30" s="16"/>
    </row>
    <row r="31" spans="2:19" s="17" customFormat="1" ht="22.5" customHeight="1" x14ac:dyDescent="0.3">
      <c r="B31" s="16"/>
      <c r="C31" s="495" t="str">
        <f>'Garázskapu árkalkulátor'!C30:R30</f>
        <v>Akciós kapu felületválasztéka: RAL9016, RAL9005, RAL9006, RAL9007, RAL7016, RAL8028, CH703 Antracit metál, Decocolor GoldenOak, Decocolor DarkOak, Decocolor NightOak</v>
      </c>
      <c r="D31" s="496"/>
      <c r="E31" s="496"/>
      <c r="F31" s="496"/>
      <c r="G31" s="496"/>
      <c r="H31" s="496"/>
      <c r="I31" s="496"/>
      <c r="J31" s="496"/>
      <c r="K31" s="496"/>
      <c r="L31" s="496"/>
      <c r="M31" s="496"/>
      <c r="N31" s="496"/>
      <c r="O31" s="496"/>
      <c r="P31" s="496"/>
      <c r="Q31" s="496"/>
      <c r="R31" s="497"/>
      <c r="S31" s="16"/>
    </row>
    <row r="32" spans="2:19" s="17" customFormat="1" ht="30" customHeight="1" thickBot="1" x14ac:dyDescent="0.35">
      <c r="B32" s="16"/>
      <c r="C32" s="488" t="s">
        <v>348</v>
      </c>
      <c r="D32" s="489"/>
      <c r="E32" s="489"/>
      <c r="F32" s="489"/>
      <c r="G32" s="489"/>
      <c r="H32" s="489"/>
      <c r="I32" s="489"/>
      <c r="J32" s="489"/>
      <c r="K32" s="489"/>
      <c r="L32" s="489"/>
      <c r="M32" s="489"/>
      <c r="N32" s="489"/>
      <c r="O32" s="489"/>
      <c r="P32" s="489"/>
      <c r="Q32" s="489"/>
      <c r="R32" s="490"/>
      <c r="S32" s="16"/>
    </row>
    <row r="33" spans="3:20" ht="3.75" customHeight="1" thickBot="1" x14ac:dyDescent="0.4">
      <c r="C33" s="95"/>
      <c r="D33" s="95"/>
      <c r="E33" s="95"/>
      <c r="F33" s="95"/>
      <c r="G33" s="95"/>
      <c r="H33" s="95"/>
      <c r="I33" s="95"/>
      <c r="J33" s="95"/>
      <c r="K33" s="95"/>
    </row>
    <row r="34" spans="3:20" ht="13.5" customHeight="1" thickBot="1" x14ac:dyDescent="0.4">
      <c r="C34" s="471" t="s">
        <v>319</v>
      </c>
      <c r="D34" s="471"/>
      <c r="E34" s="471"/>
      <c r="F34" s="471"/>
      <c r="G34" s="471"/>
      <c r="H34" s="471"/>
      <c r="I34" s="471"/>
      <c r="J34" s="471"/>
      <c r="K34" s="95"/>
      <c r="M34" s="359" t="s">
        <v>10</v>
      </c>
      <c r="N34" s="360"/>
      <c r="O34" s="491">
        <f ca="1">SUM(P15:R33)</f>
        <v>575512</v>
      </c>
      <c r="P34" s="491"/>
      <c r="Q34" s="491"/>
      <c r="R34" s="492"/>
    </row>
    <row r="35" spans="3:20" ht="13.5" customHeight="1" thickBot="1" x14ac:dyDescent="0.4">
      <c r="C35" s="471"/>
      <c r="D35" s="471"/>
      <c r="E35" s="471"/>
      <c r="F35" s="471"/>
      <c r="G35" s="471"/>
      <c r="H35" s="471"/>
      <c r="I35" s="471"/>
      <c r="J35" s="471"/>
      <c r="K35" s="95"/>
      <c r="M35" s="361" t="s">
        <v>139</v>
      </c>
      <c r="N35" s="362"/>
      <c r="O35" s="493">
        <f ca="1">IF(O34="","",ROUND(O34*0.27,0))</f>
        <v>155388</v>
      </c>
      <c r="P35" s="493"/>
      <c r="Q35" s="493"/>
      <c r="R35" s="494"/>
    </row>
    <row r="36" spans="3:20" ht="18" customHeight="1" thickBot="1" x14ac:dyDescent="0.4">
      <c r="C36" s="471"/>
      <c r="D36" s="471"/>
      <c r="E36" s="471"/>
      <c r="F36" s="471"/>
      <c r="G36" s="471"/>
      <c r="H36" s="471"/>
      <c r="I36" s="471"/>
      <c r="J36" s="471"/>
      <c r="K36" s="95"/>
      <c r="M36" s="483" t="s">
        <v>131</v>
      </c>
      <c r="N36" s="484"/>
      <c r="O36" s="472">
        <f ca="1">IF(O34="","",O34+O35)</f>
        <v>730900</v>
      </c>
      <c r="P36" s="472"/>
      <c r="Q36" s="472"/>
      <c r="R36" s="473"/>
    </row>
    <row r="37" spans="3:20" ht="12.75" customHeight="1" thickBot="1" x14ac:dyDescent="0.4">
      <c r="C37" s="471"/>
      <c r="D37" s="471"/>
      <c r="E37" s="471"/>
      <c r="F37" s="471"/>
      <c r="G37" s="471"/>
      <c r="H37" s="471"/>
      <c r="I37" s="471"/>
      <c r="J37" s="471"/>
      <c r="K37" s="95"/>
      <c r="M37" s="96"/>
      <c r="N37" s="97"/>
      <c r="O37" s="474" t="s">
        <v>233</v>
      </c>
      <c r="P37" s="474"/>
      <c r="Q37" s="474"/>
      <c r="R37" s="475"/>
    </row>
    <row r="38" spans="3:20" ht="4.5" customHeight="1" thickBot="1" x14ac:dyDescent="0.4">
      <c r="C38" s="471"/>
      <c r="D38" s="471"/>
      <c r="E38" s="471"/>
      <c r="F38" s="471"/>
      <c r="G38" s="471"/>
      <c r="H38" s="471"/>
      <c r="I38" s="471"/>
      <c r="J38" s="471"/>
      <c r="K38" s="95"/>
      <c r="M38" s="98"/>
      <c r="N38" s="98"/>
      <c r="O38" s="98"/>
      <c r="P38" s="98"/>
      <c r="Q38" s="98"/>
      <c r="R38" s="98"/>
    </row>
    <row r="39" spans="3:20" ht="12.75" customHeight="1" thickBot="1" x14ac:dyDescent="0.4">
      <c r="C39" s="471"/>
      <c r="D39" s="471"/>
      <c r="E39" s="471"/>
      <c r="F39" s="471"/>
      <c r="G39" s="471"/>
      <c r="H39" s="471"/>
      <c r="I39" s="471"/>
      <c r="J39" s="471"/>
      <c r="K39" s="95"/>
      <c r="M39" s="359" t="s">
        <v>132</v>
      </c>
      <c r="N39" s="360"/>
      <c r="O39" s="481">
        <f ca="1">ROUNDDOWN((IF(P15="",0,P15)+IF(P16="",0,P16)+IF(P17="",0,P17)+IF(P18="",0,P18)+IF(P19="",0,P19)+IF(P20="",0,P20)+IF(P25="",0,P25)+IF(P26="",0,P26)+IF(P27="",0,P27)+IF(P28="",0,P28)+IF(P29="",0,P29))*1.25/2/1000,0)*1000</f>
        <v>359000</v>
      </c>
      <c r="P39" s="481"/>
      <c r="Q39" s="481"/>
      <c r="R39" s="482"/>
      <c r="T39" s="99"/>
    </row>
    <row r="40" spans="3:20" ht="12.75" customHeight="1" thickBot="1" x14ac:dyDescent="0.4">
      <c r="C40" s="471"/>
      <c r="D40" s="471"/>
      <c r="E40" s="471"/>
      <c r="F40" s="471"/>
      <c r="G40" s="471"/>
      <c r="H40" s="471"/>
      <c r="I40" s="471"/>
      <c r="J40" s="471"/>
      <c r="K40" s="95"/>
      <c r="M40" s="361" t="s">
        <v>133</v>
      </c>
      <c r="N40" s="362"/>
      <c r="O40" s="478"/>
      <c r="P40" s="478"/>
      <c r="Q40" s="478"/>
      <c r="R40" s="479"/>
    </row>
    <row r="41" spans="3:20" ht="12.75" customHeight="1" x14ac:dyDescent="0.35">
      <c r="C41" s="471"/>
      <c r="D41" s="471"/>
      <c r="E41" s="471"/>
      <c r="F41" s="471"/>
      <c r="G41" s="471"/>
      <c r="H41" s="471"/>
      <c r="I41" s="471"/>
      <c r="J41" s="471"/>
      <c r="K41" s="95"/>
      <c r="M41" s="361" t="s">
        <v>134</v>
      </c>
      <c r="N41" s="362"/>
      <c r="O41" s="362"/>
      <c r="P41" s="362"/>
      <c r="Q41" s="362"/>
      <c r="R41" s="480"/>
    </row>
    <row r="42" spans="3:20" ht="12.75" customHeight="1" thickBot="1" x14ac:dyDescent="0.4">
      <c r="C42" s="471"/>
      <c r="D42" s="471"/>
      <c r="E42" s="471"/>
      <c r="F42" s="471"/>
      <c r="G42" s="471"/>
      <c r="H42" s="471"/>
      <c r="I42" s="471"/>
      <c r="J42" s="471"/>
      <c r="K42" s="95"/>
      <c r="M42" s="361" t="s">
        <v>135</v>
      </c>
      <c r="N42" s="362"/>
      <c r="O42" s="476">
        <f ca="1">IF(O34="","",O36-O39)</f>
        <v>371900</v>
      </c>
      <c r="P42" s="476"/>
      <c r="Q42" s="476"/>
      <c r="R42" s="477"/>
    </row>
    <row r="43" spans="3:20" ht="12.75" customHeight="1" x14ac:dyDescent="0.35">
      <c r="C43" s="471"/>
      <c r="D43" s="471"/>
      <c r="E43" s="471"/>
      <c r="F43" s="471"/>
      <c r="G43" s="471"/>
      <c r="H43" s="471"/>
      <c r="I43" s="471"/>
      <c r="J43" s="471"/>
      <c r="K43" s="95"/>
      <c r="L43" s="95"/>
      <c r="M43" s="465" t="s">
        <v>232</v>
      </c>
      <c r="N43" s="466"/>
      <c r="O43" s="466"/>
      <c r="P43" s="466"/>
      <c r="Q43" s="466"/>
      <c r="R43" s="467"/>
    </row>
    <row r="44" spans="3:20" ht="2.25" customHeight="1" thickBot="1" x14ac:dyDescent="0.4">
      <c r="C44" s="455" t="s">
        <v>136</v>
      </c>
      <c r="D44" s="455"/>
      <c r="E44" s="455"/>
      <c r="F44" s="456">
        <f ca="1">TODAY()</f>
        <v>45356</v>
      </c>
      <c r="G44" s="457"/>
      <c r="H44" s="457"/>
      <c r="I44" s="95"/>
      <c r="J44" s="95"/>
      <c r="K44" s="95"/>
      <c r="L44" s="95"/>
      <c r="M44" s="468"/>
      <c r="N44" s="469"/>
      <c r="O44" s="469"/>
      <c r="P44" s="469"/>
      <c r="Q44" s="469"/>
      <c r="R44" s="470"/>
    </row>
    <row r="45" spans="3:20" ht="12.75" customHeight="1" x14ac:dyDescent="0.35">
      <c r="C45" s="455"/>
      <c r="D45" s="455"/>
      <c r="E45" s="455"/>
      <c r="F45" s="458"/>
      <c r="G45" s="458"/>
      <c r="H45" s="458"/>
      <c r="I45" s="95"/>
      <c r="J45" s="95"/>
      <c r="K45" s="95"/>
      <c r="L45" s="95"/>
      <c r="M45" s="95"/>
      <c r="N45" s="95"/>
      <c r="O45" s="95"/>
      <c r="P45" s="95"/>
      <c r="Q45" s="95"/>
      <c r="R45" s="95"/>
    </row>
    <row r="46" spans="3:20" ht="12.75" customHeight="1" x14ac:dyDescent="0.35">
      <c r="C46" s="459"/>
      <c r="D46" s="459"/>
      <c r="E46" s="459"/>
      <c r="F46" s="459"/>
      <c r="G46" s="459"/>
      <c r="H46" s="459"/>
      <c r="I46" s="459"/>
      <c r="J46" s="459"/>
      <c r="K46" s="459"/>
      <c r="L46" s="459"/>
      <c r="M46" s="459"/>
      <c r="N46" s="459"/>
      <c r="O46" s="459"/>
      <c r="P46" s="459"/>
      <c r="Q46" s="459"/>
      <c r="R46" s="459"/>
    </row>
    <row r="47" spans="3:20" ht="12.75" customHeight="1" x14ac:dyDescent="0.35">
      <c r="C47" s="460"/>
      <c r="D47" s="460"/>
      <c r="E47" s="460"/>
      <c r="F47" s="460"/>
      <c r="G47" s="462" t="s">
        <v>137</v>
      </c>
      <c r="H47" s="462"/>
      <c r="I47" s="462"/>
      <c r="J47" s="462"/>
      <c r="K47" s="462"/>
      <c r="L47" s="462"/>
      <c r="M47" s="462"/>
      <c r="N47" s="463"/>
      <c r="O47" s="463"/>
      <c r="P47" s="463"/>
      <c r="Q47" s="463"/>
      <c r="R47" s="463"/>
    </row>
    <row r="48" spans="3:20" ht="9.75" customHeight="1" x14ac:dyDescent="0.35">
      <c r="C48" s="461"/>
      <c r="D48" s="461"/>
      <c r="E48" s="461"/>
      <c r="F48" s="461"/>
      <c r="G48" s="462"/>
      <c r="H48" s="462"/>
      <c r="I48" s="462"/>
      <c r="J48" s="462"/>
      <c r="K48" s="462"/>
      <c r="L48" s="462"/>
      <c r="M48" s="462"/>
      <c r="N48" s="464"/>
      <c r="O48" s="464"/>
      <c r="P48" s="464"/>
      <c r="Q48" s="464"/>
      <c r="R48" s="464"/>
    </row>
    <row r="49" spans="3:18" ht="12.75" customHeight="1" x14ac:dyDescent="0.35">
      <c r="C49" s="445" t="s">
        <v>323</v>
      </c>
      <c r="D49" s="445"/>
      <c r="E49" s="445"/>
      <c r="F49" s="445"/>
      <c r="G49" s="462"/>
      <c r="H49" s="462"/>
      <c r="I49" s="462"/>
      <c r="J49" s="462"/>
      <c r="K49" s="462"/>
      <c r="L49" s="462"/>
      <c r="M49" s="462"/>
      <c r="N49" s="445" t="s">
        <v>138</v>
      </c>
      <c r="O49" s="445"/>
      <c r="P49" s="445"/>
      <c r="Q49" s="445"/>
      <c r="R49" s="84"/>
    </row>
  </sheetData>
  <mergeCells count="97">
    <mergeCell ref="P2:R2"/>
    <mergeCell ref="E5:H5"/>
    <mergeCell ref="J5:O6"/>
    <mergeCell ref="P5:P6"/>
    <mergeCell ref="Q5:R6"/>
    <mergeCell ref="E6:H6"/>
    <mergeCell ref="E10:H10"/>
    <mergeCell ref="E9:H9"/>
    <mergeCell ref="J7:O8"/>
    <mergeCell ref="P7:P8"/>
    <mergeCell ref="Q7:R8"/>
    <mergeCell ref="E8:H8"/>
    <mergeCell ref="E7:H7"/>
    <mergeCell ref="J9:O10"/>
    <mergeCell ref="P9:P10"/>
    <mergeCell ref="Q9:R10"/>
    <mergeCell ref="C14:R14"/>
    <mergeCell ref="D15:J15"/>
    <mergeCell ref="K15:L15"/>
    <mergeCell ref="P15:R15"/>
    <mergeCell ref="J11:O11"/>
    <mergeCell ref="C12:R12"/>
    <mergeCell ref="D13:E13"/>
    <mergeCell ref="F13:J13"/>
    <mergeCell ref="K13:L13"/>
    <mergeCell ref="P13:R13"/>
    <mergeCell ref="D16:J16"/>
    <mergeCell ref="K16:L16"/>
    <mergeCell ref="P16:R16"/>
    <mergeCell ref="D17:J17"/>
    <mergeCell ref="K17:L17"/>
    <mergeCell ref="P17:R17"/>
    <mergeCell ref="D18:J18"/>
    <mergeCell ref="K18:L18"/>
    <mergeCell ref="P18:R18"/>
    <mergeCell ref="D19:J19"/>
    <mergeCell ref="K19:L19"/>
    <mergeCell ref="P19:R19"/>
    <mergeCell ref="D20:J20"/>
    <mergeCell ref="K20:L20"/>
    <mergeCell ref="P20:R20"/>
    <mergeCell ref="D21:J21"/>
    <mergeCell ref="K21:L21"/>
    <mergeCell ref="P21:R21"/>
    <mergeCell ref="D22:J22"/>
    <mergeCell ref="K22:L22"/>
    <mergeCell ref="P22:R22"/>
    <mergeCell ref="D23:J23"/>
    <mergeCell ref="K23:L23"/>
    <mergeCell ref="P23:R23"/>
    <mergeCell ref="D24:J24"/>
    <mergeCell ref="K24:L24"/>
    <mergeCell ref="P24:R24"/>
    <mergeCell ref="D25:J25"/>
    <mergeCell ref="K25:L25"/>
    <mergeCell ref="P25:R25"/>
    <mergeCell ref="M35:N35"/>
    <mergeCell ref="O35:R35"/>
    <mergeCell ref="D26:J26"/>
    <mergeCell ref="K26:L26"/>
    <mergeCell ref="P26:R26"/>
    <mergeCell ref="D27:J27"/>
    <mergeCell ref="K27:L27"/>
    <mergeCell ref="P27:R27"/>
    <mergeCell ref="C31:R31"/>
    <mergeCell ref="M41:R41"/>
    <mergeCell ref="O39:R39"/>
    <mergeCell ref="M40:N40"/>
    <mergeCell ref="M36:N36"/>
    <mergeCell ref="D28:J28"/>
    <mergeCell ref="K28:L28"/>
    <mergeCell ref="P28:R28"/>
    <mergeCell ref="C32:R32"/>
    <mergeCell ref="D29:J29"/>
    <mergeCell ref="K29:L29"/>
    <mergeCell ref="P29:R29"/>
    <mergeCell ref="D30:J30"/>
    <mergeCell ref="K30:L30"/>
    <mergeCell ref="P30:R30"/>
    <mergeCell ref="M34:N34"/>
    <mergeCell ref="O34:R34"/>
    <mergeCell ref="C44:E45"/>
    <mergeCell ref="F44:H45"/>
    <mergeCell ref="C46:R46"/>
    <mergeCell ref="C47:F48"/>
    <mergeCell ref="G47:M49"/>
    <mergeCell ref="N47:R48"/>
    <mergeCell ref="C49:F49"/>
    <mergeCell ref="N49:Q49"/>
    <mergeCell ref="M43:R44"/>
    <mergeCell ref="C34:J43"/>
    <mergeCell ref="O36:R36"/>
    <mergeCell ref="O37:R37"/>
    <mergeCell ref="M39:N39"/>
    <mergeCell ref="M42:N42"/>
    <mergeCell ref="O42:R42"/>
    <mergeCell ref="O40:R40"/>
  </mergeCells>
  <phoneticPr fontId="23" type="noConversion"/>
  <printOptions horizontalCentered="1" verticalCentered="1"/>
  <pageMargins left="0.19685039370078741" right="0.19685039370078741" top="0.19685039370078741" bottom="0.19685039370078741" header="0.51181102362204722" footer="0.51181102362204722"/>
  <pageSetup paperSize="9" orientation="portrait" verticalDpi="0" r:id="rId1"/>
  <headerFooter alignWithMargins="0"/>
  <ignoredErrors>
    <ignoredError sqref="O16:P16" formula="1"/>
  </ignoredError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2:CQ392"/>
  <sheetViews>
    <sheetView topLeftCell="BH276" zoomScaleNormal="100" workbookViewId="0">
      <selection activeCell="C12" sqref="C12:R12"/>
    </sheetView>
  </sheetViews>
  <sheetFormatPr defaultColWidth="9.19921875" defaultRowHeight="10.15" x14ac:dyDescent="0.3"/>
  <cols>
    <col min="1" max="1" width="12.59765625" style="53" customWidth="1"/>
    <col min="2" max="2" width="11.46484375" style="53" customWidth="1"/>
    <col min="3" max="3" width="9.265625" style="53" customWidth="1"/>
    <col min="4" max="5" width="9.46484375" style="53" customWidth="1"/>
    <col min="6" max="6" width="9.53125" style="53" customWidth="1"/>
    <col min="7" max="14" width="9.46484375" style="53" customWidth="1"/>
    <col min="15" max="15" width="9.46484375" style="55" customWidth="1"/>
    <col min="16" max="16" width="10.73046875" style="53" customWidth="1"/>
    <col min="17" max="17" width="9.46484375" style="53" customWidth="1"/>
    <col min="18" max="18" width="9.53125" style="53" customWidth="1"/>
    <col min="19" max="19" width="8.73046875" style="53" customWidth="1"/>
    <col min="20" max="20" width="4.46484375" style="53" customWidth="1"/>
    <col min="21" max="21" width="5.19921875" style="53" customWidth="1"/>
    <col min="22" max="22" width="2.19921875" style="53" customWidth="1"/>
    <col min="23" max="23" width="9.46484375" style="53" customWidth="1"/>
    <col min="24" max="25" width="5.53125" style="53" customWidth="1"/>
    <col min="26" max="26" width="4.796875" style="53" customWidth="1"/>
    <col min="27" max="27" width="5.19921875" style="53" customWidth="1"/>
    <col min="28" max="28" width="4" style="53" customWidth="1"/>
    <col min="29" max="30" width="9.265625" style="53" customWidth="1"/>
    <col min="31" max="31" width="9.19921875" style="53" customWidth="1"/>
    <col min="32" max="32" width="9.46484375" style="53" customWidth="1"/>
    <col min="33" max="34" width="13.265625" style="53" customWidth="1"/>
    <col min="35" max="36" width="9.19921875" style="53" customWidth="1"/>
    <col min="37" max="39" width="12.46484375" style="53" customWidth="1"/>
    <col min="40" max="40" width="9.796875" style="119" customWidth="1"/>
    <col min="41" max="41" width="9.796875" style="53" customWidth="1"/>
    <col min="42" max="51" width="9.73046875" style="53" customWidth="1"/>
    <col min="52" max="53" width="9.19921875" style="53" customWidth="1"/>
    <col min="54" max="54" width="9.265625" style="53" customWidth="1"/>
    <col min="55" max="87" width="9.19921875" style="53" customWidth="1"/>
    <col min="88" max="88" width="9.86328125" style="53" customWidth="1"/>
    <col min="89" max="91" width="9.19921875" style="53" customWidth="1"/>
    <col min="92" max="92" width="9.796875" style="53" bestFit="1" customWidth="1"/>
    <col min="93" max="93" width="9.19921875" style="53"/>
    <col min="94" max="94" width="9.796875" style="53" bestFit="1" customWidth="1"/>
    <col min="95" max="16384" width="9.19921875" style="53"/>
  </cols>
  <sheetData>
    <row r="2" spans="1:12" ht="10.5" thickBot="1" x14ac:dyDescent="0.35">
      <c r="B2" s="321"/>
      <c r="C2" s="322" t="s">
        <v>118</v>
      </c>
      <c r="D2" s="323"/>
    </row>
    <row r="3" spans="1:12" ht="10.5" thickBot="1" x14ac:dyDescent="0.35">
      <c r="B3" s="327"/>
      <c r="C3" s="328" t="s">
        <v>96</v>
      </c>
      <c r="D3" s="329"/>
    </row>
    <row r="4" spans="1:12" ht="10.5" thickBot="1" x14ac:dyDescent="0.35">
      <c r="B4" s="324"/>
      <c r="C4" s="325" t="s">
        <v>509</v>
      </c>
      <c r="D4" s="326"/>
    </row>
    <row r="8" spans="1:12" x14ac:dyDescent="0.3">
      <c r="A8" s="269" t="s">
        <v>502</v>
      </c>
      <c r="E8" s="231">
        <f ca="1">IF(B52=1,H9,H10)</f>
        <v>45386</v>
      </c>
      <c r="F8" s="53" t="str">
        <f>IF(B52=1,F9,F10)</f>
        <v>akciós kapu esetén</v>
      </c>
    </row>
    <row r="9" spans="1:12" x14ac:dyDescent="0.3">
      <c r="A9" s="269"/>
      <c r="F9" s="203" t="s">
        <v>503</v>
      </c>
      <c r="G9" s="203"/>
      <c r="H9" s="231">
        <f ca="1">IF(E17&lt;=TODAY(),TODAY()+30,IF(E17&lt;TODAY()+30,E17-1,TODAY()+30))</f>
        <v>45386</v>
      </c>
      <c r="I9" s="203" t="s">
        <v>506</v>
      </c>
      <c r="J9" s="203"/>
      <c r="K9" s="203"/>
      <c r="L9" s="203"/>
    </row>
    <row r="10" spans="1:12" x14ac:dyDescent="0.3">
      <c r="A10" s="269"/>
      <c r="F10" s="203" t="s">
        <v>504</v>
      </c>
      <c r="G10" s="203"/>
      <c r="H10" s="231">
        <f ca="1">IF(E13&lt;=TODAY(),TODAY()+30,IF(E13&lt;TODAY()+30,E13,TODAY()+30))</f>
        <v>45386</v>
      </c>
      <c r="I10" s="203" t="s">
        <v>505</v>
      </c>
      <c r="J10" s="203"/>
      <c r="K10" s="203"/>
      <c r="L10" s="203"/>
    </row>
    <row r="11" spans="1:12" x14ac:dyDescent="0.3">
      <c r="A11" s="269"/>
    </row>
    <row r="12" spans="1:12" ht="10.5" thickBot="1" x14ac:dyDescent="0.35">
      <c r="A12" s="269"/>
    </row>
    <row r="13" spans="1:12" ht="10.5" thickBot="1" x14ac:dyDescent="0.35">
      <c r="A13" s="269"/>
      <c r="C13" s="297" t="s">
        <v>608</v>
      </c>
      <c r="E13" s="232">
        <v>45077</v>
      </c>
      <c r="F13" s="298" t="s">
        <v>612</v>
      </c>
    </row>
    <row r="14" spans="1:12" ht="10.5" thickBot="1" x14ac:dyDescent="0.35">
      <c r="A14" s="269"/>
      <c r="C14" s="296"/>
      <c r="E14" s="235">
        <v>1</v>
      </c>
      <c r="F14" s="298" t="s">
        <v>609</v>
      </c>
    </row>
    <row r="15" spans="1:12" ht="10.5" thickBot="1" x14ac:dyDescent="0.35">
      <c r="A15" s="269"/>
      <c r="C15" s="296"/>
      <c r="E15" s="235">
        <v>1</v>
      </c>
      <c r="F15" s="298" t="s">
        <v>615</v>
      </c>
    </row>
    <row r="16" spans="1:12" ht="10.5" thickBot="1" x14ac:dyDescent="0.35">
      <c r="A16" s="269"/>
      <c r="C16" s="296"/>
      <c r="F16" s="298"/>
    </row>
    <row r="17" spans="1:14" ht="10.5" thickBot="1" x14ac:dyDescent="0.35">
      <c r="A17" s="269"/>
      <c r="C17" s="297" t="s">
        <v>611</v>
      </c>
      <c r="E17" s="232">
        <v>45351</v>
      </c>
      <c r="F17" s="298" t="s">
        <v>613</v>
      </c>
    </row>
    <row r="18" spans="1:14" ht="10.5" thickBot="1" x14ac:dyDescent="0.35">
      <c r="A18" s="269"/>
      <c r="E18" s="235">
        <v>1.1025</v>
      </c>
      <c r="F18" s="298" t="s">
        <v>609</v>
      </c>
    </row>
    <row r="19" spans="1:14" ht="10.5" thickBot="1" x14ac:dyDescent="0.35">
      <c r="A19" s="269"/>
      <c r="E19" s="235">
        <f>E18*1.05</f>
        <v>1.1576250000000001</v>
      </c>
      <c r="F19" s="298" t="s">
        <v>610</v>
      </c>
    </row>
    <row r="20" spans="1:14" ht="10.5" thickBot="1" x14ac:dyDescent="0.35">
      <c r="A20" s="269"/>
      <c r="F20" s="298"/>
    </row>
    <row r="21" spans="1:14" ht="10.5" thickBot="1" x14ac:dyDescent="0.35">
      <c r="A21" s="269"/>
      <c r="C21" s="297" t="s">
        <v>614</v>
      </c>
      <c r="E21" s="232">
        <v>45351</v>
      </c>
      <c r="F21" s="298" t="s">
        <v>613</v>
      </c>
    </row>
    <row r="22" spans="1:14" ht="10.5" thickBot="1" x14ac:dyDescent="0.35">
      <c r="A22" s="269"/>
      <c r="E22" s="235">
        <v>1.05</v>
      </c>
      <c r="F22" s="298" t="s">
        <v>609</v>
      </c>
    </row>
    <row r="23" spans="1:14" ht="10.5" thickBot="1" x14ac:dyDescent="0.35">
      <c r="A23" s="269"/>
      <c r="E23" s="235">
        <f>E22*1.05</f>
        <v>1.1025</v>
      </c>
      <c r="F23" s="298" t="s">
        <v>610</v>
      </c>
      <c r="H23" s="176"/>
      <c r="N23" s="53" t="s">
        <v>631</v>
      </c>
    </row>
    <row r="24" spans="1:14" x14ac:dyDescent="0.3">
      <c r="A24" s="269"/>
    </row>
    <row r="25" spans="1:14" x14ac:dyDescent="0.3">
      <c r="A25" s="269"/>
      <c r="B25" s="240" t="s">
        <v>530</v>
      </c>
    </row>
    <row r="26" spans="1:14" ht="22.5" customHeight="1" x14ac:dyDescent="0.3">
      <c r="A26" s="269"/>
      <c r="B26" s="253" t="s">
        <v>617</v>
      </c>
    </row>
    <row r="27" spans="1:14" x14ac:dyDescent="0.3">
      <c r="A27" s="269"/>
    </row>
    <row r="28" spans="1:14" ht="10.15" customHeight="1" x14ac:dyDescent="0.3">
      <c r="A28" s="269"/>
      <c r="K28" s="284"/>
    </row>
    <row r="29" spans="1:14" x14ac:dyDescent="0.3">
      <c r="A29" s="269"/>
      <c r="D29" s="253"/>
      <c r="K29" s="218" t="s">
        <v>607</v>
      </c>
    </row>
    <row r="30" spans="1:14" ht="10.15" customHeight="1" x14ac:dyDescent="0.3">
      <c r="A30" s="269"/>
      <c r="D30" s="253"/>
      <c r="K30" s="287">
        <f ca="1">TODAY()+K28</f>
        <v>45356</v>
      </c>
    </row>
    <row r="31" spans="1:14" x14ac:dyDescent="0.3">
      <c r="A31" s="269"/>
      <c r="D31" s="252" t="s">
        <v>391</v>
      </c>
      <c r="E31" s="285" t="s">
        <v>576</v>
      </c>
      <c r="F31" s="252" t="s">
        <v>603</v>
      </c>
      <c r="G31" s="252" t="s">
        <v>606</v>
      </c>
      <c r="H31" s="252" t="s">
        <v>604</v>
      </c>
      <c r="I31" s="252" t="s">
        <v>606</v>
      </c>
      <c r="J31" s="252" t="s">
        <v>618</v>
      </c>
      <c r="K31" s="252" t="s">
        <v>605</v>
      </c>
      <c r="L31" s="523" t="s">
        <v>616</v>
      </c>
      <c r="M31" s="524"/>
    </row>
    <row r="32" spans="1:14" ht="10.15" customHeight="1" x14ac:dyDescent="0.3">
      <c r="A32" s="269"/>
      <c r="B32" s="527" t="s">
        <v>592</v>
      </c>
      <c r="C32" s="248" t="s">
        <v>602</v>
      </c>
      <c r="D32" s="300" t="s">
        <v>554</v>
      </c>
      <c r="E32" s="286" t="str">
        <f>IF(B52=1,D181,"")</f>
        <v/>
      </c>
      <c r="F32" s="289">
        <f>IF(H32="","",H32-1)</f>
        <v>45350</v>
      </c>
      <c r="G32" s="299">
        <f>E18</f>
        <v>1.1025</v>
      </c>
      <c r="H32" s="289">
        <f>IF($E$17="","",$E$17)</f>
        <v>45351</v>
      </c>
      <c r="I32" s="299">
        <f>E19</f>
        <v>1.1576250000000001</v>
      </c>
      <c r="J32" s="299" t="str">
        <f>IFERROR(K32/E32,"")</f>
        <v/>
      </c>
      <c r="K32" s="294" t="str">
        <f t="shared" ref="K32:K49" si="0">IF(E32="","",IF(H32="",E32*IF(G32=0,1,G32),IF($K$30&gt;F32,E32*I32,E32*G32)))</f>
        <v/>
      </c>
      <c r="L32" s="525" t="s">
        <v>611</v>
      </c>
      <c r="M32" s="526"/>
    </row>
    <row r="33" spans="1:13" x14ac:dyDescent="0.3">
      <c r="A33" s="269"/>
      <c r="B33" s="528"/>
      <c r="C33" s="248" t="s">
        <v>457</v>
      </c>
      <c r="D33" s="300" t="s">
        <v>554</v>
      </c>
      <c r="E33" s="286">
        <f ca="1">IF(B52=1,"",D181)</f>
        <v>575512</v>
      </c>
      <c r="F33" s="289">
        <f t="shared" ref="F33:F49" si="1">IF(H33="","",H33-1)</f>
        <v>45077</v>
      </c>
      <c r="G33" s="299">
        <f>E14</f>
        <v>1</v>
      </c>
      <c r="H33" s="289">
        <f>IF($E$13="","",$E$13+1)</f>
        <v>45078</v>
      </c>
      <c r="I33" s="299">
        <f>E15</f>
        <v>1</v>
      </c>
      <c r="J33" s="299">
        <f t="shared" ref="J33:J49" ca="1" si="2">IFERROR(K33/E33,"")</f>
        <v>1</v>
      </c>
      <c r="K33" s="294">
        <f t="shared" ca="1" si="0"/>
        <v>575512</v>
      </c>
      <c r="L33" s="525" t="s">
        <v>608</v>
      </c>
      <c r="M33" s="526"/>
    </row>
    <row r="34" spans="1:13" ht="10.15" customHeight="1" x14ac:dyDescent="0.3">
      <c r="A34" s="269"/>
      <c r="B34" s="529" t="s">
        <v>182</v>
      </c>
      <c r="C34" s="529"/>
      <c r="D34" s="300" t="s">
        <v>554</v>
      </c>
      <c r="E34" s="286">
        <f>C190</f>
        <v>23600</v>
      </c>
      <c r="F34" s="289">
        <f t="shared" si="1"/>
        <v>45350</v>
      </c>
      <c r="G34" s="299">
        <f>E18</f>
        <v>1.1025</v>
      </c>
      <c r="H34" s="289">
        <f>IF($E$17="","",$E$17)</f>
        <v>45351</v>
      </c>
      <c r="I34" s="299">
        <f>E19</f>
        <v>1.1576250000000001</v>
      </c>
      <c r="J34" s="299">
        <f t="shared" ca="1" si="2"/>
        <v>1.1576250000000001</v>
      </c>
      <c r="K34" s="294">
        <f t="shared" ca="1" si="0"/>
        <v>27319.950000000004</v>
      </c>
      <c r="L34" s="525" t="s">
        <v>611</v>
      </c>
      <c r="M34" s="526"/>
    </row>
    <row r="35" spans="1:13" x14ac:dyDescent="0.3">
      <c r="A35" s="269"/>
      <c r="B35" s="527" t="s">
        <v>593</v>
      </c>
      <c r="C35" s="248" t="s">
        <v>602</v>
      </c>
      <c r="D35" s="300" t="s">
        <v>554</v>
      </c>
      <c r="E35" s="286" t="str">
        <f>IF(B52=1,F130,"")</f>
        <v/>
      </c>
      <c r="F35" s="289">
        <f t="shared" si="1"/>
        <v>45350</v>
      </c>
      <c r="G35" s="299">
        <f>E22</f>
        <v>1.05</v>
      </c>
      <c r="H35" s="289">
        <f>IF($E$21="","",$E$21)</f>
        <v>45351</v>
      </c>
      <c r="I35" s="299">
        <f>E23</f>
        <v>1.1025</v>
      </c>
      <c r="J35" s="299" t="str">
        <f t="shared" si="2"/>
        <v/>
      </c>
      <c r="K35" s="294" t="str">
        <f t="shared" si="0"/>
        <v/>
      </c>
      <c r="L35" s="525" t="s">
        <v>614</v>
      </c>
      <c r="M35" s="526"/>
    </row>
    <row r="36" spans="1:13" ht="12.75" customHeight="1" x14ac:dyDescent="0.3">
      <c r="A36" s="269"/>
      <c r="B36" s="528"/>
      <c r="C36" s="248" t="s">
        <v>457</v>
      </c>
      <c r="D36" s="300" t="s">
        <v>554</v>
      </c>
      <c r="E36" s="286">
        <f>IF(B52=1,"",0)</f>
        <v>0</v>
      </c>
      <c r="F36" s="289">
        <f t="shared" si="1"/>
        <v>45077</v>
      </c>
      <c r="G36" s="299">
        <f>E14</f>
        <v>1</v>
      </c>
      <c r="H36" s="289">
        <f>IF($E$13="","",$E$13+1)</f>
        <v>45078</v>
      </c>
      <c r="I36" s="299">
        <f>E15</f>
        <v>1</v>
      </c>
      <c r="J36" s="299" t="str">
        <f t="shared" ca="1" si="2"/>
        <v/>
      </c>
      <c r="K36" s="294">
        <f t="shared" ca="1" si="0"/>
        <v>0</v>
      </c>
      <c r="L36" s="525" t="s">
        <v>608</v>
      </c>
      <c r="M36" s="526"/>
    </row>
    <row r="37" spans="1:13" x14ac:dyDescent="0.3">
      <c r="A37" s="269"/>
      <c r="B37" s="529" t="s">
        <v>192</v>
      </c>
      <c r="C37" s="529"/>
      <c r="D37" s="300" t="s">
        <v>554</v>
      </c>
      <c r="E37" s="286">
        <f>C248</f>
        <v>23809.523809523809</v>
      </c>
      <c r="F37" s="289">
        <f t="shared" si="1"/>
        <v>45350</v>
      </c>
      <c r="G37" s="299">
        <f>E22</f>
        <v>1.05</v>
      </c>
      <c r="H37" s="289">
        <f>IF($E$21="","",$E$21)</f>
        <v>45351</v>
      </c>
      <c r="I37" s="299">
        <f>E23</f>
        <v>1.1025</v>
      </c>
      <c r="J37" s="299">
        <f t="shared" ca="1" si="2"/>
        <v>1.1025</v>
      </c>
      <c r="K37" s="294">
        <f t="shared" ca="1" si="0"/>
        <v>26250</v>
      </c>
      <c r="L37" s="525" t="s">
        <v>614</v>
      </c>
      <c r="M37" s="526"/>
    </row>
    <row r="38" spans="1:13" ht="12.75" customHeight="1" x14ac:dyDescent="0.3">
      <c r="A38" s="269"/>
      <c r="B38" s="529" t="s">
        <v>594</v>
      </c>
      <c r="C38" s="529"/>
      <c r="D38" s="300" t="s">
        <v>554</v>
      </c>
      <c r="E38" s="286" t="str">
        <f>C195</f>
        <v/>
      </c>
      <c r="F38" s="289">
        <f t="shared" si="1"/>
        <v>45350</v>
      </c>
      <c r="G38" s="299">
        <f>E22</f>
        <v>1.05</v>
      </c>
      <c r="H38" s="289">
        <f t="shared" ref="H38:H39" si="3">IF($E$21="","",$E$21)</f>
        <v>45351</v>
      </c>
      <c r="I38" s="299">
        <f>E23</f>
        <v>1.1025</v>
      </c>
      <c r="J38" s="299" t="str">
        <f t="shared" si="2"/>
        <v/>
      </c>
      <c r="K38" s="294" t="str">
        <f t="shared" si="0"/>
        <v/>
      </c>
      <c r="L38" s="525" t="s">
        <v>614</v>
      </c>
      <c r="M38" s="526"/>
    </row>
    <row r="39" spans="1:13" x14ac:dyDescent="0.3">
      <c r="A39" s="269"/>
      <c r="B39" s="529" t="s">
        <v>349</v>
      </c>
      <c r="C39" s="529"/>
      <c r="D39" s="300" t="s">
        <v>554</v>
      </c>
      <c r="E39" s="286">
        <f>C203</f>
        <v>12500</v>
      </c>
      <c r="F39" s="289">
        <f t="shared" si="1"/>
        <v>45350</v>
      </c>
      <c r="G39" s="299">
        <f>E22</f>
        <v>1.05</v>
      </c>
      <c r="H39" s="289">
        <f t="shared" si="3"/>
        <v>45351</v>
      </c>
      <c r="I39" s="299">
        <f>E23</f>
        <v>1.1025</v>
      </c>
      <c r="J39" s="299">
        <f t="shared" ca="1" si="2"/>
        <v>1.1025</v>
      </c>
      <c r="K39" s="294">
        <f t="shared" ca="1" si="0"/>
        <v>13781.25</v>
      </c>
      <c r="L39" s="525" t="s">
        <v>614</v>
      </c>
      <c r="M39" s="526"/>
    </row>
    <row r="40" spans="1:13" x14ac:dyDescent="0.3">
      <c r="A40" s="269"/>
      <c r="B40" s="529" t="s">
        <v>515</v>
      </c>
      <c r="C40" s="529"/>
      <c r="D40" s="300" t="s">
        <v>554</v>
      </c>
      <c r="E40" s="286">
        <f>C229</f>
        <v>6000</v>
      </c>
      <c r="F40" s="289" t="str">
        <f t="shared" si="1"/>
        <v/>
      </c>
      <c r="G40" s="292"/>
      <c r="H40" s="288"/>
      <c r="I40" s="292"/>
      <c r="J40" s="299">
        <f t="shared" si="2"/>
        <v>1</v>
      </c>
      <c r="K40" s="294">
        <f t="shared" si="0"/>
        <v>6000</v>
      </c>
      <c r="L40" s="525"/>
      <c r="M40" s="526"/>
    </row>
    <row r="41" spans="1:13" x14ac:dyDescent="0.3">
      <c r="A41" s="269"/>
      <c r="B41" s="529" t="s">
        <v>516</v>
      </c>
      <c r="C41" s="529"/>
      <c r="D41" s="300" t="s">
        <v>554</v>
      </c>
      <c r="E41" s="286">
        <f>C232</f>
        <v>91000</v>
      </c>
      <c r="F41" s="289" t="str">
        <f t="shared" si="1"/>
        <v/>
      </c>
      <c r="G41" s="292"/>
      <c r="H41" s="288"/>
      <c r="I41" s="292"/>
      <c r="J41" s="299">
        <f t="shared" si="2"/>
        <v>1</v>
      </c>
      <c r="K41" s="294">
        <f t="shared" si="0"/>
        <v>91000</v>
      </c>
      <c r="L41" s="525"/>
      <c r="M41" s="526"/>
    </row>
    <row r="42" spans="1:13" x14ac:dyDescent="0.3">
      <c r="A42" s="269"/>
      <c r="B42" s="529" t="s">
        <v>595</v>
      </c>
      <c r="C42" s="529"/>
      <c r="D42" s="300" t="s">
        <v>554</v>
      </c>
      <c r="E42" s="286">
        <f>C242</f>
        <v>23400</v>
      </c>
      <c r="F42" s="289" t="str">
        <f t="shared" si="1"/>
        <v/>
      </c>
      <c r="G42" s="292"/>
      <c r="H42" s="288"/>
      <c r="I42" s="292"/>
      <c r="J42" s="299">
        <f t="shared" si="2"/>
        <v>1</v>
      </c>
      <c r="K42" s="294">
        <f t="shared" si="0"/>
        <v>23400</v>
      </c>
      <c r="L42" s="525"/>
      <c r="M42" s="526"/>
    </row>
    <row r="43" spans="1:13" x14ac:dyDescent="0.3">
      <c r="A43" s="269"/>
      <c r="B43" s="529" t="s">
        <v>518</v>
      </c>
      <c r="C43" s="529"/>
      <c r="D43" s="300" t="s">
        <v>554</v>
      </c>
      <c r="E43" s="286">
        <f>C244</f>
        <v>6000</v>
      </c>
      <c r="F43" s="289" t="str">
        <f t="shared" si="1"/>
        <v/>
      </c>
      <c r="G43" s="292"/>
      <c r="H43" s="288"/>
      <c r="I43" s="292"/>
      <c r="J43" s="299">
        <f t="shared" si="2"/>
        <v>1</v>
      </c>
      <c r="K43" s="294">
        <f t="shared" si="0"/>
        <v>6000</v>
      </c>
      <c r="L43" s="525"/>
      <c r="M43" s="526"/>
    </row>
    <row r="44" spans="1:13" x14ac:dyDescent="0.3">
      <c r="A44" s="269"/>
      <c r="B44" s="529" t="s">
        <v>596</v>
      </c>
      <c r="C44" s="529"/>
      <c r="D44" s="300" t="s">
        <v>554</v>
      </c>
      <c r="E44" s="286" t="str">
        <f>C254</f>
        <v/>
      </c>
      <c r="F44" s="289">
        <f t="shared" si="1"/>
        <v>45350</v>
      </c>
      <c r="G44" s="299">
        <f>E18</f>
        <v>1.1025</v>
      </c>
      <c r="H44" s="289">
        <f>IF($E$17="","",$E$17)</f>
        <v>45351</v>
      </c>
      <c r="I44" s="299">
        <f>E19</f>
        <v>1.1576250000000001</v>
      </c>
      <c r="J44" s="299" t="str">
        <f t="shared" si="2"/>
        <v/>
      </c>
      <c r="K44" s="294" t="str">
        <f t="shared" si="0"/>
        <v/>
      </c>
      <c r="L44" s="525" t="s">
        <v>611</v>
      </c>
      <c r="M44" s="526"/>
    </row>
    <row r="45" spans="1:13" x14ac:dyDescent="0.3">
      <c r="A45" s="269"/>
      <c r="B45" s="529" t="s">
        <v>597</v>
      </c>
      <c r="C45" s="529"/>
      <c r="D45" s="300" t="s">
        <v>554</v>
      </c>
      <c r="E45" s="286" t="str">
        <f>F211</f>
        <v/>
      </c>
      <c r="F45" s="289">
        <f t="shared" si="1"/>
        <v>45350</v>
      </c>
      <c r="G45" s="299">
        <f>E18</f>
        <v>1.1025</v>
      </c>
      <c r="H45" s="289">
        <f>IF($E$17="","",$E$17)</f>
        <v>45351</v>
      </c>
      <c r="I45" s="299">
        <f>E19</f>
        <v>1.1576250000000001</v>
      </c>
      <c r="J45" s="299" t="str">
        <f t="shared" si="2"/>
        <v/>
      </c>
      <c r="K45" s="294" t="str">
        <f t="shared" si="0"/>
        <v/>
      </c>
      <c r="L45" s="525" t="s">
        <v>611</v>
      </c>
      <c r="M45" s="526"/>
    </row>
    <row r="46" spans="1:13" x14ac:dyDescent="0.3">
      <c r="A46" s="269"/>
      <c r="B46" s="529" t="s">
        <v>598</v>
      </c>
      <c r="C46" s="529"/>
      <c r="D46" s="300" t="s">
        <v>554</v>
      </c>
      <c r="E46" s="286">
        <f>C186</f>
        <v>208800</v>
      </c>
      <c r="F46" s="289">
        <f t="shared" si="1"/>
        <v>45350</v>
      </c>
      <c r="G46" s="299">
        <f>E18</f>
        <v>1.1025</v>
      </c>
      <c r="H46" s="289">
        <f>IF($E$17="","",$E$17)</f>
        <v>45351</v>
      </c>
      <c r="I46" s="299">
        <f>E19</f>
        <v>1.1576250000000001</v>
      </c>
      <c r="J46" s="299">
        <f t="shared" ca="1" si="2"/>
        <v>1.1576250000000001</v>
      </c>
      <c r="K46" s="294">
        <f t="shared" ca="1" si="0"/>
        <v>241712.10000000003</v>
      </c>
      <c r="L46" s="525" t="s">
        <v>611</v>
      </c>
      <c r="M46" s="526"/>
    </row>
    <row r="47" spans="1:13" x14ac:dyDescent="0.3">
      <c r="A47" s="269"/>
      <c r="B47" s="529" t="s">
        <v>599</v>
      </c>
      <c r="C47" s="529"/>
      <c r="D47" s="300"/>
      <c r="E47" s="290"/>
      <c r="F47" s="291"/>
      <c r="G47" s="293"/>
      <c r="H47" s="291"/>
      <c r="I47" s="293"/>
      <c r="J47" s="293" t="str">
        <f t="shared" si="2"/>
        <v/>
      </c>
      <c r="K47" s="295" t="str">
        <f t="shared" si="0"/>
        <v/>
      </c>
      <c r="L47" s="525"/>
      <c r="M47" s="526"/>
    </row>
    <row r="48" spans="1:13" x14ac:dyDescent="0.3">
      <c r="A48" s="269"/>
      <c r="B48" s="529" t="s">
        <v>600</v>
      </c>
      <c r="C48" s="529"/>
      <c r="D48" s="300" t="s">
        <v>554</v>
      </c>
      <c r="E48" s="286">
        <f>C250</f>
        <v>24300</v>
      </c>
      <c r="F48" s="289" t="str">
        <f t="shared" si="1"/>
        <v/>
      </c>
      <c r="G48" s="292"/>
      <c r="H48" s="288"/>
      <c r="I48" s="292"/>
      <c r="J48" s="299">
        <f t="shared" si="2"/>
        <v>1</v>
      </c>
      <c r="K48" s="294">
        <f t="shared" si="0"/>
        <v>24300</v>
      </c>
      <c r="L48" s="525"/>
      <c r="M48" s="526"/>
    </row>
    <row r="49" spans="1:13" x14ac:dyDescent="0.3">
      <c r="A49" s="269"/>
      <c r="B49" s="529" t="s">
        <v>601</v>
      </c>
      <c r="C49" s="529"/>
      <c r="D49" s="300" t="s">
        <v>554</v>
      </c>
      <c r="E49" s="286">
        <f>C252</f>
        <v>20000</v>
      </c>
      <c r="F49" s="289" t="str">
        <f t="shared" si="1"/>
        <v/>
      </c>
      <c r="G49" s="292"/>
      <c r="H49" s="288"/>
      <c r="I49" s="292"/>
      <c r="J49" s="299">
        <f t="shared" si="2"/>
        <v>1</v>
      </c>
      <c r="K49" s="294">
        <f t="shared" si="0"/>
        <v>20000</v>
      </c>
      <c r="L49" s="525"/>
      <c r="M49" s="526"/>
    </row>
    <row r="50" spans="1:13" x14ac:dyDescent="0.3">
      <c r="A50" s="269"/>
      <c r="D50" s="253"/>
      <c r="E50" s="119">
        <f ca="1">SUM(E32:E49)</f>
        <v>1014921.5238095238</v>
      </c>
      <c r="K50" s="119">
        <f ca="1">SUM(K32:K49)</f>
        <v>1055275.3</v>
      </c>
    </row>
    <row r="51" spans="1:13" x14ac:dyDescent="0.3">
      <c r="A51" s="269"/>
      <c r="K51" s="53" t="s">
        <v>619</v>
      </c>
    </row>
    <row r="52" spans="1:13" x14ac:dyDescent="0.3">
      <c r="A52" s="268" t="s">
        <v>522</v>
      </c>
      <c r="B52" s="80">
        <v>2</v>
      </c>
      <c r="C52" s="74" t="s">
        <v>523</v>
      </c>
    </row>
    <row r="53" spans="1:13" x14ac:dyDescent="0.3">
      <c r="A53" s="269"/>
    </row>
    <row r="54" spans="1:13" x14ac:dyDescent="0.3">
      <c r="A54" s="269"/>
      <c r="C54" s="236" t="s">
        <v>547</v>
      </c>
    </row>
    <row r="55" spans="1:13" x14ac:dyDescent="0.3">
      <c r="A55" s="269"/>
      <c r="D55" s="57" t="s">
        <v>540</v>
      </c>
      <c r="E55" s="57">
        <v>0</v>
      </c>
      <c r="F55" s="57"/>
      <c r="G55" s="57"/>
      <c r="H55" s="57"/>
      <c r="I55" s="57"/>
    </row>
    <row r="56" spans="1:13" x14ac:dyDescent="0.3">
      <c r="A56" s="269"/>
      <c r="D56" s="226" t="s">
        <v>541</v>
      </c>
      <c r="E56" s="57">
        <v>1</v>
      </c>
      <c r="F56" s="57">
        <v>111</v>
      </c>
      <c r="G56" s="244"/>
      <c r="H56" s="245" t="s">
        <v>401</v>
      </c>
      <c r="I56" s="246"/>
    </row>
    <row r="57" spans="1:13" x14ac:dyDescent="0.3">
      <c r="A57" s="269"/>
      <c r="D57" s="226" t="s">
        <v>542</v>
      </c>
      <c r="E57" s="57">
        <v>2</v>
      </c>
      <c r="F57" s="57">
        <v>112</v>
      </c>
      <c r="G57" s="244">
        <v>30</v>
      </c>
      <c r="H57" s="245" t="s">
        <v>120</v>
      </c>
      <c r="I57" s="246"/>
    </row>
    <row r="58" spans="1:13" x14ac:dyDescent="0.3">
      <c r="A58" s="269"/>
      <c r="D58" s="203" t="s">
        <v>543</v>
      </c>
      <c r="E58" s="57">
        <v>3</v>
      </c>
      <c r="F58" s="57">
        <v>113</v>
      </c>
      <c r="G58" s="247">
        <v>11</v>
      </c>
      <c r="H58" s="246" t="s">
        <v>404</v>
      </c>
      <c r="I58" s="246"/>
    </row>
    <row r="59" spans="1:13" x14ac:dyDescent="0.3">
      <c r="A59" s="269"/>
      <c r="D59" s="117">
        <f>C144+C152+C176</f>
        <v>113</v>
      </c>
      <c r="E59" s="57">
        <v>4</v>
      </c>
      <c r="F59" s="57">
        <v>121</v>
      </c>
      <c r="G59" s="244"/>
      <c r="H59" s="245" t="s">
        <v>402</v>
      </c>
      <c r="I59" s="246"/>
    </row>
    <row r="60" spans="1:13" x14ac:dyDescent="0.3">
      <c r="A60" s="269"/>
      <c r="D60" s="226" t="s">
        <v>544</v>
      </c>
      <c r="E60" s="57">
        <v>5</v>
      </c>
      <c r="F60" s="57">
        <v>122</v>
      </c>
      <c r="G60" s="244">
        <v>9</v>
      </c>
      <c r="H60" s="246"/>
      <c r="I60" s="246"/>
    </row>
    <row r="61" spans="1:13" x14ac:dyDescent="0.3">
      <c r="A61" s="269"/>
      <c r="D61" s="203"/>
      <c r="E61" s="57">
        <v>6</v>
      </c>
      <c r="F61" s="57">
        <v>123</v>
      </c>
      <c r="G61" s="244">
        <v>30</v>
      </c>
      <c r="H61" s="245" t="s">
        <v>120</v>
      </c>
      <c r="I61" s="246"/>
      <c r="J61" s="246" t="s">
        <v>630</v>
      </c>
    </row>
    <row r="62" spans="1:13" x14ac:dyDescent="0.3">
      <c r="A62" s="269"/>
      <c r="D62" s="203" t="s">
        <v>545</v>
      </c>
      <c r="E62" s="57">
        <v>7</v>
      </c>
      <c r="F62" s="57">
        <v>131</v>
      </c>
      <c r="G62" s="244"/>
      <c r="H62" s="245" t="s">
        <v>403</v>
      </c>
      <c r="I62" s="246"/>
    </row>
    <row r="63" spans="1:13" x14ac:dyDescent="0.3">
      <c r="A63" s="269"/>
      <c r="D63" s="203" t="s">
        <v>546</v>
      </c>
      <c r="E63" s="57">
        <v>8</v>
      </c>
      <c r="F63" s="57">
        <v>132</v>
      </c>
      <c r="G63" s="244">
        <v>30</v>
      </c>
      <c r="H63" s="245" t="s">
        <v>120</v>
      </c>
      <c r="I63" s="246"/>
    </row>
    <row r="64" spans="1:13" x14ac:dyDescent="0.3">
      <c r="A64" s="269"/>
      <c r="D64" s="117">
        <f>VLOOKUP(D59,F56:G91,2)</f>
        <v>11</v>
      </c>
      <c r="E64" s="57">
        <v>9</v>
      </c>
      <c r="F64" s="57">
        <v>133</v>
      </c>
      <c r="G64" s="247">
        <v>13</v>
      </c>
      <c r="H64" s="246" t="s">
        <v>398</v>
      </c>
      <c r="I64" s="246"/>
    </row>
    <row r="65" spans="1:10" x14ac:dyDescent="0.3">
      <c r="A65" s="269"/>
      <c r="D65" s="203"/>
      <c r="E65" s="57">
        <v>10</v>
      </c>
      <c r="F65" s="57">
        <v>141</v>
      </c>
      <c r="G65" s="244">
        <v>30</v>
      </c>
      <c r="H65" s="245" t="s">
        <v>120</v>
      </c>
      <c r="I65" s="246"/>
    </row>
    <row r="66" spans="1:10" x14ac:dyDescent="0.3">
      <c r="A66" s="269"/>
      <c r="E66" s="57">
        <v>11</v>
      </c>
      <c r="F66" s="57">
        <v>142</v>
      </c>
      <c r="G66" s="244">
        <v>30</v>
      </c>
      <c r="H66" s="245" t="s">
        <v>120</v>
      </c>
      <c r="I66" s="246"/>
    </row>
    <row r="67" spans="1:10" x14ac:dyDescent="0.3">
      <c r="A67" s="269"/>
      <c r="E67" s="57">
        <v>12</v>
      </c>
      <c r="F67" s="57">
        <v>143</v>
      </c>
      <c r="G67" s="247">
        <v>9</v>
      </c>
      <c r="H67" s="246" t="s">
        <v>395</v>
      </c>
      <c r="I67" s="246"/>
    </row>
    <row r="68" spans="1:10" x14ac:dyDescent="0.3">
      <c r="A68" s="269"/>
      <c r="E68" s="57">
        <v>13</v>
      </c>
      <c r="F68" s="57">
        <v>211</v>
      </c>
      <c r="G68" s="244">
        <v>30</v>
      </c>
      <c r="H68" s="245" t="s">
        <v>120</v>
      </c>
      <c r="I68" s="246"/>
    </row>
    <row r="69" spans="1:10" x14ac:dyDescent="0.3">
      <c r="A69" s="269"/>
      <c r="E69" s="57">
        <v>14</v>
      </c>
      <c r="F69" s="57">
        <v>212</v>
      </c>
      <c r="G69" s="244">
        <v>30</v>
      </c>
      <c r="H69" s="245" t="s">
        <v>120</v>
      </c>
      <c r="I69" s="246"/>
    </row>
    <row r="70" spans="1:10" x14ac:dyDescent="0.3">
      <c r="A70" s="269"/>
      <c r="E70" s="57">
        <v>15</v>
      </c>
      <c r="F70" s="57">
        <v>213</v>
      </c>
      <c r="G70" s="247">
        <v>12</v>
      </c>
      <c r="H70" s="246" t="s">
        <v>405</v>
      </c>
      <c r="I70" s="246"/>
    </row>
    <row r="71" spans="1:10" x14ac:dyDescent="0.3">
      <c r="A71" s="269"/>
      <c r="E71" s="57">
        <v>16</v>
      </c>
      <c r="F71" s="57">
        <v>221</v>
      </c>
      <c r="G71" s="244">
        <v>30</v>
      </c>
      <c r="H71" s="245" t="s">
        <v>120</v>
      </c>
      <c r="I71" s="246"/>
    </row>
    <row r="72" spans="1:10" x14ac:dyDescent="0.3">
      <c r="A72" s="269"/>
      <c r="E72" s="57">
        <v>17</v>
      </c>
      <c r="F72" s="57">
        <v>222</v>
      </c>
      <c r="G72" s="244">
        <v>30</v>
      </c>
      <c r="H72" s="245" t="s">
        <v>120</v>
      </c>
      <c r="I72" s="246"/>
    </row>
    <row r="73" spans="1:10" x14ac:dyDescent="0.3">
      <c r="A73" s="269"/>
      <c r="E73" s="57">
        <v>18</v>
      </c>
      <c r="F73" s="57">
        <v>223</v>
      </c>
      <c r="G73" s="244">
        <v>30</v>
      </c>
      <c r="H73" s="245" t="s">
        <v>120</v>
      </c>
      <c r="I73" s="246"/>
      <c r="J73" s="246" t="s">
        <v>630</v>
      </c>
    </row>
    <row r="74" spans="1:10" x14ac:dyDescent="0.3">
      <c r="A74" s="269"/>
      <c r="E74" s="57">
        <v>19</v>
      </c>
      <c r="F74" s="57">
        <v>231</v>
      </c>
      <c r="G74" s="244">
        <v>30</v>
      </c>
      <c r="H74" s="245" t="s">
        <v>120</v>
      </c>
      <c r="I74" s="246"/>
    </row>
    <row r="75" spans="1:10" x14ac:dyDescent="0.3">
      <c r="A75" s="269"/>
      <c r="E75" s="57">
        <v>20</v>
      </c>
      <c r="F75" s="57">
        <v>232</v>
      </c>
      <c r="G75" s="244">
        <v>30</v>
      </c>
      <c r="H75" s="245" t="s">
        <v>120</v>
      </c>
      <c r="I75" s="246"/>
    </row>
    <row r="76" spans="1:10" x14ac:dyDescent="0.3">
      <c r="A76" s="269"/>
      <c r="E76" s="57">
        <v>21</v>
      </c>
      <c r="F76" s="57">
        <v>233</v>
      </c>
      <c r="G76" s="247">
        <v>14</v>
      </c>
      <c r="H76" s="246" t="s">
        <v>399</v>
      </c>
      <c r="I76" s="246"/>
    </row>
    <row r="77" spans="1:10" x14ac:dyDescent="0.3">
      <c r="A77" s="269"/>
      <c r="E77" s="57">
        <v>22</v>
      </c>
      <c r="F77" s="57">
        <v>241</v>
      </c>
      <c r="G77" s="244">
        <v>30</v>
      </c>
      <c r="H77" s="245" t="s">
        <v>120</v>
      </c>
      <c r="I77" s="246"/>
    </row>
    <row r="78" spans="1:10" x14ac:dyDescent="0.3">
      <c r="A78" s="269"/>
      <c r="E78" s="57">
        <v>23</v>
      </c>
      <c r="F78" s="57">
        <v>242</v>
      </c>
      <c r="G78" s="244">
        <v>30</v>
      </c>
      <c r="H78" s="245" t="s">
        <v>120</v>
      </c>
      <c r="I78" s="246"/>
    </row>
    <row r="79" spans="1:10" x14ac:dyDescent="0.3">
      <c r="A79" s="269"/>
      <c r="E79" s="57">
        <v>24</v>
      </c>
      <c r="F79" s="57">
        <v>243</v>
      </c>
      <c r="G79" s="247">
        <v>10</v>
      </c>
      <c r="H79" s="246" t="s">
        <v>396</v>
      </c>
      <c r="I79" s="246"/>
    </row>
    <row r="80" spans="1:10" x14ac:dyDescent="0.3">
      <c r="A80" s="269"/>
      <c r="E80" s="57">
        <v>25</v>
      </c>
      <c r="F80" s="57">
        <v>311</v>
      </c>
      <c r="G80" s="244">
        <v>30</v>
      </c>
      <c r="H80" s="245" t="s">
        <v>120</v>
      </c>
      <c r="I80" s="246"/>
    </row>
    <row r="81" spans="1:39" x14ac:dyDescent="0.3">
      <c r="A81" s="269"/>
      <c r="E81" s="57">
        <v>26</v>
      </c>
      <c r="F81" s="57">
        <v>312</v>
      </c>
      <c r="G81" s="244">
        <v>30</v>
      </c>
      <c r="H81" s="245" t="s">
        <v>120</v>
      </c>
      <c r="I81" s="246"/>
    </row>
    <row r="82" spans="1:39" x14ac:dyDescent="0.3">
      <c r="A82" s="269"/>
      <c r="E82" s="57">
        <v>27</v>
      </c>
      <c r="F82" s="57">
        <v>313</v>
      </c>
      <c r="G82" s="244">
        <v>30</v>
      </c>
      <c r="H82" s="245" t="s">
        <v>120</v>
      </c>
      <c r="I82" s="246"/>
    </row>
    <row r="83" spans="1:39" x14ac:dyDescent="0.3">
      <c r="A83" s="269"/>
      <c r="E83" s="57">
        <v>28</v>
      </c>
      <c r="F83" s="57">
        <v>321</v>
      </c>
      <c r="G83" s="244">
        <v>30</v>
      </c>
      <c r="H83" s="245" t="s">
        <v>120</v>
      </c>
      <c r="I83" s="246"/>
    </row>
    <row r="84" spans="1:39" x14ac:dyDescent="0.3">
      <c r="A84" s="269"/>
      <c r="E84" s="57">
        <v>29</v>
      </c>
      <c r="F84" s="57">
        <v>322</v>
      </c>
      <c r="G84" s="244">
        <v>30</v>
      </c>
      <c r="H84" s="245" t="s">
        <v>120</v>
      </c>
      <c r="I84" s="246"/>
    </row>
    <row r="85" spans="1:39" x14ac:dyDescent="0.3">
      <c r="A85" s="269"/>
      <c r="E85" s="57">
        <v>30</v>
      </c>
      <c r="F85" s="57">
        <v>323</v>
      </c>
      <c r="G85" s="244">
        <v>30</v>
      </c>
      <c r="H85" s="245" t="s">
        <v>120</v>
      </c>
      <c r="I85" s="246"/>
      <c r="J85" s="246" t="s">
        <v>630</v>
      </c>
    </row>
    <row r="86" spans="1:39" x14ac:dyDescent="0.3">
      <c r="A86" s="269"/>
      <c r="E86" s="57">
        <v>31</v>
      </c>
      <c r="F86" s="57">
        <v>331</v>
      </c>
      <c r="G86" s="244">
        <v>30</v>
      </c>
      <c r="H86" s="245" t="s">
        <v>120</v>
      </c>
      <c r="I86" s="246"/>
    </row>
    <row r="87" spans="1:39" x14ac:dyDescent="0.3">
      <c r="A87" s="269"/>
      <c r="E87" s="57">
        <v>32</v>
      </c>
      <c r="F87" s="57">
        <v>332</v>
      </c>
      <c r="G87" s="244">
        <v>30</v>
      </c>
      <c r="H87" s="245" t="s">
        <v>120</v>
      </c>
      <c r="I87" s="246"/>
    </row>
    <row r="88" spans="1:39" x14ac:dyDescent="0.3">
      <c r="A88" s="269"/>
      <c r="E88" s="57">
        <v>33</v>
      </c>
      <c r="F88" s="57">
        <v>333</v>
      </c>
      <c r="G88" s="247">
        <v>15</v>
      </c>
      <c r="H88" s="246" t="s">
        <v>400</v>
      </c>
      <c r="I88" s="246"/>
    </row>
    <row r="89" spans="1:39" x14ac:dyDescent="0.3">
      <c r="A89" s="269"/>
      <c r="E89" s="57">
        <v>34</v>
      </c>
      <c r="F89" s="57">
        <v>341</v>
      </c>
      <c r="G89" s="244">
        <v>30</v>
      </c>
      <c r="H89" s="245" t="s">
        <v>120</v>
      </c>
      <c r="I89" s="246"/>
    </row>
    <row r="90" spans="1:39" x14ac:dyDescent="0.3">
      <c r="A90" s="269"/>
      <c r="E90" s="57">
        <v>35</v>
      </c>
      <c r="F90" s="57">
        <v>342</v>
      </c>
      <c r="G90" s="244">
        <v>30</v>
      </c>
      <c r="H90" s="245" t="s">
        <v>120</v>
      </c>
      <c r="I90" s="246"/>
      <c r="J90" s="54"/>
    </row>
    <row r="91" spans="1:39" x14ac:dyDescent="0.3">
      <c r="A91" s="269"/>
      <c r="E91" s="57">
        <v>36</v>
      </c>
      <c r="F91" s="57">
        <v>343</v>
      </c>
      <c r="G91" s="247">
        <v>8</v>
      </c>
      <c r="H91" s="246" t="s">
        <v>397</v>
      </c>
      <c r="I91" s="246"/>
      <c r="J91" s="54"/>
    </row>
    <row r="92" spans="1:39" x14ac:dyDescent="0.3">
      <c r="A92" s="269"/>
      <c r="D92" s="54"/>
      <c r="E92" s="54"/>
      <c r="F92" s="54"/>
      <c r="G92" s="54"/>
      <c r="H92" s="54"/>
      <c r="I92" s="54"/>
      <c r="J92" s="54"/>
    </row>
    <row r="93" spans="1:39" x14ac:dyDescent="0.3">
      <c r="A93" s="269"/>
      <c r="C93" s="236" t="s">
        <v>549</v>
      </c>
      <c r="O93" s="53"/>
    </row>
    <row r="94" spans="1:39" x14ac:dyDescent="0.3">
      <c r="A94" s="269"/>
      <c r="D94" s="57" t="s">
        <v>548</v>
      </c>
      <c r="E94" s="203" t="s">
        <v>628</v>
      </c>
      <c r="F94" s="203"/>
      <c r="G94" s="203"/>
      <c r="H94" s="203"/>
      <c r="I94" s="203"/>
      <c r="J94" s="203"/>
      <c r="K94" s="203"/>
      <c r="L94" s="203"/>
      <c r="M94" s="203"/>
      <c r="N94" s="203"/>
      <c r="O94" s="203"/>
      <c r="P94" s="203"/>
      <c r="Q94" s="203"/>
      <c r="R94" s="203"/>
      <c r="S94" s="203"/>
      <c r="T94" s="203"/>
      <c r="U94" s="203"/>
      <c r="V94" s="203"/>
      <c r="W94" s="203"/>
      <c r="X94" s="203"/>
      <c r="Y94" s="203"/>
      <c r="Z94" s="203"/>
      <c r="AA94" s="203"/>
      <c r="AB94" s="203"/>
      <c r="AC94" s="203"/>
      <c r="AD94" s="203"/>
      <c r="AE94" s="203"/>
      <c r="AF94" s="203"/>
      <c r="AG94" s="203"/>
      <c r="AH94" s="203"/>
      <c r="AI94" s="203"/>
      <c r="AJ94" s="203"/>
      <c r="AK94" s="203"/>
      <c r="AL94" s="203"/>
      <c r="AM94" s="203"/>
    </row>
    <row r="95" spans="1:39" x14ac:dyDescent="0.3">
      <c r="A95" s="269"/>
      <c r="D95" s="117">
        <f>B209*10+B210</f>
        <v>13</v>
      </c>
      <c r="E95" s="57">
        <v>0</v>
      </c>
      <c r="F95" s="75" t="s">
        <v>534</v>
      </c>
      <c r="G95" s="320" t="s">
        <v>655</v>
      </c>
      <c r="H95" s="203"/>
      <c r="I95" s="203"/>
      <c r="J95" s="203"/>
      <c r="K95" s="203"/>
      <c r="L95" s="203"/>
      <c r="M95" s="203"/>
      <c r="N95" s="203"/>
      <c r="O95" s="203"/>
      <c r="P95" s="203"/>
      <c r="Q95" s="203"/>
      <c r="R95" s="203"/>
      <c r="S95" s="203"/>
      <c r="T95" s="203"/>
      <c r="U95" s="203"/>
      <c r="V95" s="203"/>
      <c r="W95" s="203"/>
      <c r="X95" s="203"/>
      <c r="Y95" s="203"/>
      <c r="Z95" s="203"/>
      <c r="AA95" s="203"/>
      <c r="AB95" s="203"/>
      <c r="AC95" s="203"/>
      <c r="AD95" s="203"/>
      <c r="AE95" s="203"/>
      <c r="AF95" s="203"/>
      <c r="AG95" s="203"/>
      <c r="AH95" s="203"/>
      <c r="AI95" s="203"/>
      <c r="AJ95" s="203"/>
      <c r="AK95" s="203"/>
      <c r="AL95" s="203"/>
      <c r="AM95" s="203"/>
    </row>
    <row r="96" spans="1:39" x14ac:dyDescent="0.3">
      <c r="A96" s="269"/>
      <c r="D96" s="226" t="s">
        <v>550</v>
      </c>
      <c r="E96" s="57">
        <v>1</v>
      </c>
      <c r="F96" s="57">
        <v>11</v>
      </c>
      <c r="G96" s="203">
        <v>41</v>
      </c>
      <c r="H96" s="203"/>
      <c r="I96" s="520" t="s">
        <v>624</v>
      </c>
      <c r="J96" s="520"/>
      <c r="K96" s="520"/>
      <c r="L96" s="520"/>
      <c r="M96" s="520"/>
      <c r="N96" s="520"/>
      <c r="O96" s="520"/>
      <c r="P96" s="520"/>
      <c r="Q96" s="520"/>
      <c r="R96" s="520"/>
      <c r="S96" s="520"/>
      <c r="T96" s="520"/>
      <c r="U96" s="520"/>
      <c r="V96" s="520"/>
      <c r="W96" s="520"/>
      <c r="X96" s="520"/>
      <c r="Y96" s="520"/>
      <c r="Z96" s="520"/>
      <c r="AA96" s="520"/>
      <c r="AB96" s="203"/>
      <c r="AC96" s="315" t="str">
        <f>AN285</f>
        <v>Akciós Prolift700 M bordás woodgrain</v>
      </c>
      <c r="AD96" s="203"/>
      <c r="AE96" s="203"/>
      <c r="AF96" s="203"/>
      <c r="AG96" s="203"/>
      <c r="AH96" s="203"/>
      <c r="AI96" s="203"/>
      <c r="AJ96" s="203"/>
      <c r="AK96" s="203"/>
      <c r="AL96" s="203"/>
      <c r="AM96" s="203"/>
    </row>
    <row r="97" spans="1:39" x14ac:dyDescent="0.3">
      <c r="A97" s="269"/>
      <c r="D97" s="75" t="s">
        <v>107</v>
      </c>
      <c r="E97" s="57">
        <v>2</v>
      </c>
      <c r="F97" s="57">
        <v>12</v>
      </c>
      <c r="G97" s="203">
        <v>45</v>
      </c>
      <c r="H97" s="203"/>
      <c r="I97" s="520" t="str">
        <f>I96</f>
        <v>RAL9016, RAL9005, RAL9006, RAL9007, RAL7016, RAL8028, CH703 Antracit metál, Decocolor GoldenOak, Decocolor DarkOak, Decocolor NightOak</v>
      </c>
      <c r="J97" s="520"/>
      <c r="K97" s="520"/>
      <c r="L97" s="520"/>
      <c r="M97" s="520"/>
      <c r="N97" s="520"/>
      <c r="O97" s="520"/>
      <c r="P97" s="520"/>
      <c r="Q97" s="520"/>
      <c r="R97" s="520"/>
      <c r="S97" s="520"/>
      <c r="T97" s="520"/>
      <c r="U97" s="520"/>
      <c r="V97" s="520"/>
      <c r="W97" s="520"/>
      <c r="X97" s="520"/>
      <c r="Y97" s="520"/>
      <c r="Z97" s="520"/>
      <c r="AA97" s="520"/>
      <c r="AB97" s="203"/>
      <c r="AC97" s="315" t="str">
        <f>AR285</f>
        <v>Akciós Promatic M bordás woodgrain</v>
      </c>
      <c r="AD97" s="203"/>
      <c r="AE97" s="203"/>
      <c r="AF97" s="203"/>
      <c r="AG97" s="203"/>
      <c r="AH97" s="203"/>
      <c r="AI97" s="203"/>
      <c r="AJ97" s="203"/>
      <c r="AK97" s="203"/>
      <c r="AL97" s="203"/>
      <c r="AM97" s="203"/>
    </row>
    <row r="98" spans="1:39" x14ac:dyDescent="0.3">
      <c r="A98" s="269"/>
      <c r="D98" s="117">
        <f>VLOOKUP(B209*10+B210,F96:G104,2)</f>
        <v>49</v>
      </c>
      <c r="E98" s="57">
        <v>3</v>
      </c>
      <c r="F98" s="57">
        <v>13</v>
      </c>
      <c r="G98" s="203">
        <v>49</v>
      </c>
      <c r="H98" s="203"/>
      <c r="I98" s="520" t="str">
        <f>I96</f>
        <v>RAL9016, RAL9005, RAL9006, RAL9007, RAL7016, RAL8028, CH703 Antracit metál, Decocolor GoldenOak, Decocolor DarkOak, Decocolor NightOak</v>
      </c>
      <c r="J98" s="520"/>
      <c r="K98" s="520"/>
      <c r="L98" s="520"/>
      <c r="M98" s="520"/>
      <c r="N98" s="520"/>
      <c r="O98" s="520"/>
      <c r="P98" s="520"/>
      <c r="Q98" s="520"/>
      <c r="R98" s="520"/>
      <c r="S98" s="520"/>
      <c r="T98" s="520"/>
      <c r="U98" s="520"/>
      <c r="V98" s="520"/>
      <c r="W98" s="520"/>
      <c r="X98" s="520"/>
      <c r="Y98" s="520"/>
      <c r="Z98" s="520"/>
      <c r="AA98" s="520"/>
      <c r="AB98" s="203"/>
      <c r="AC98" s="315" t="str">
        <f>AV285</f>
        <v>Akciós Supramatic E                  M bordás woodgrain</v>
      </c>
      <c r="AD98" s="203"/>
      <c r="AE98" s="203"/>
      <c r="AF98" s="203"/>
      <c r="AG98" s="203"/>
      <c r="AH98" s="203"/>
      <c r="AI98" s="203"/>
      <c r="AJ98" s="203"/>
      <c r="AK98" s="203"/>
      <c r="AL98" s="203"/>
      <c r="AM98" s="203"/>
    </row>
    <row r="99" spans="1:39" x14ac:dyDescent="0.3">
      <c r="A99" s="269"/>
      <c r="D99" s="203"/>
      <c r="E99" s="57">
        <v>4</v>
      </c>
      <c r="F99" s="57">
        <v>21</v>
      </c>
      <c r="G99" s="203">
        <v>43</v>
      </c>
      <c r="H99" s="203"/>
      <c r="I99" s="520" t="s">
        <v>626</v>
      </c>
      <c r="J99" s="520"/>
      <c r="K99" s="520"/>
      <c r="L99" s="520"/>
      <c r="M99" s="520"/>
      <c r="N99" s="520"/>
      <c r="O99" s="520"/>
      <c r="P99" s="520"/>
      <c r="Q99" s="520"/>
      <c r="R99" s="520"/>
      <c r="S99" s="520"/>
      <c r="T99" s="520"/>
      <c r="U99" s="520"/>
      <c r="V99" s="520"/>
      <c r="W99" s="520"/>
      <c r="X99" s="520"/>
      <c r="Y99" s="520"/>
      <c r="Z99" s="520"/>
      <c r="AA99" s="520"/>
      <c r="AB99" s="203"/>
      <c r="AC99" s="315" t="str">
        <f>AP285</f>
        <v>Akciós Prolift700 L bordás Planar</v>
      </c>
      <c r="AD99" s="203"/>
      <c r="AE99" s="203"/>
      <c r="AF99" s="203"/>
      <c r="AG99" s="203"/>
      <c r="AH99" s="203"/>
      <c r="AI99" s="203"/>
      <c r="AJ99" s="203"/>
      <c r="AK99" s="203"/>
      <c r="AL99" s="203"/>
      <c r="AM99" s="203" t="s">
        <v>554</v>
      </c>
    </row>
    <row r="100" spans="1:39" x14ac:dyDescent="0.3">
      <c r="A100" s="269"/>
      <c r="D100" s="203"/>
      <c r="E100" s="57">
        <v>5</v>
      </c>
      <c r="F100" s="57">
        <v>22</v>
      </c>
      <c r="G100" s="203">
        <v>47</v>
      </c>
      <c r="H100" s="203"/>
      <c r="I100" s="520" t="str">
        <f>I99</f>
        <v>RAL9016, RAL9005, RAL9006, RAL9007, RAL7016, RAL8028, CH703 Antracit metál</v>
      </c>
      <c r="J100" s="520"/>
      <c r="K100" s="520"/>
      <c r="L100" s="520"/>
      <c r="M100" s="520"/>
      <c r="N100" s="520"/>
      <c r="O100" s="520"/>
      <c r="P100" s="520"/>
      <c r="Q100" s="520"/>
      <c r="R100" s="520"/>
      <c r="S100" s="520"/>
      <c r="T100" s="520"/>
      <c r="U100" s="520"/>
      <c r="V100" s="520"/>
      <c r="W100" s="520"/>
      <c r="X100" s="520"/>
      <c r="Y100" s="520"/>
      <c r="Z100" s="520"/>
      <c r="AA100" s="520"/>
      <c r="AB100" s="203"/>
      <c r="AC100" s="315" t="str">
        <f>AT285</f>
        <v>Akciós Promatic L bordás Planar</v>
      </c>
      <c r="AD100" s="203"/>
      <c r="AE100" s="203"/>
      <c r="AF100" s="203"/>
      <c r="AG100" s="203"/>
      <c r="AH100" s="203"/>
      <c r="AI100" s="203"/>
      <c r="AJ100" s="203"/>
      <c r="AK100" s="203"/>
      <c r="AL100" s="203"/>
      <c r="AM100" s="203" t="s">
        <v>554</v>
      </c>
    </row>
    <row r="101" spans="1:39" x14ac:dyDescent="0.3">
      <c r="A101" s="269"/>
      <c r="D101" s="203"/>
      <c r="E101" s="57">
        <v>6</v>
      </c>
      <c r="F101" s="57">
        <v>23</v>
      </c>
      <c r="G101" s="203">
        <v>51</v>
      </c>
      <c r="H101" s="203"/>
      <c r="I101" s="520" t="str">
        <f>I99</f>
        <v>RAL9016, RAL9005, RAL9006, RAL9007, RAL7016, RAL8028, CH703 Antracit metál</v>
      </c>
      <c r="J101" s="520"/>
      <c r="K101" s="520"/>
      <c r="L101" s="520"/>
      <c r="M101" s="520"/>
      <c r="N101" s="520"/>
      <c r="O101" s="520"/>
      <c r="P101" s="520"/>
      <c r="Q101" s="520"/>
      <c r="R101" s="520"/>
      <c r="S101" s="520"/>
      <c r="T101" s="520"/>
      <c r="U101" s="520"/>
      <c r="V101" s="520"/>
      <c r="W101" s="520"/>
      <c r="X101" s="520"/>
      <c r="Y101" s="520"/>
      <c r="Z101" s="520"/>
      <c r="AA101" s="520"/>
      <c r="AB101" s="203"/>
      <c r="AC101" s="315" t="str">
        <f>AX285</f>
        <v>Akciós Supramatic E                  L bordás Planar</v>
      </c>
      <c r="AD101" s="203"/>
      <c r="AE101" s="203"/>
      <c r="AF101" s="203"/>
      <c r="AG101" s="203"/>
      <c r="AH101" s="203"/>
      <c r="AI101" s="203"/>
      <c r="AJ101" s="203"/>
      <c r="AK101" s="203"/>
      <c r="AL101" s="203"/>
      <c r="AM101" s="203" t="s">
        <v>554</v>
      </c>
    </row>
    <row r="102" spans="1:39" x14ac:dyDescent="0.3">
      <c r="A102" s="269"/>
      <c r="D102" s="203"/>
      <c r="E102" s="57">
        <v>7</v>
      </c>
      <c r="F102" s="57">
        <v>31</v>
      </c>
      <c r="G102" s="203">
        <v>53</v>
      </c>
      <c r="H102" s="203"/>
      <c r="I102" s="522" t="s">
        <v>627</v>
      </c>
      <c r="J102" s="520"/>
      <c r="K102" s="520"/>
      <c r="L102" s="520"/>
      <c r="M102" s="520"/>
      <c r="N102" s="520"/>
      <c r="O102" s="520"/>
      <c r="P102" s="520"/>
      <c r="Q102" s="520"/>
      <c r="R102" s="520"/>
      <c r="S102" s="520"/>
      <c r="T102" s="520"/>
      <c r="U102" s="520"/>
      <c r="V102" s="520"/>
      <c r="W102" s="520"/>
      <c r="X102" s="520"/>
      <c r="Y102" s="520"/>
      <c r="Z102" s="520"/>
      <c r="AA102" s="520"/>
      <c r="AB102" s="203"/>
      <c r="AC102" s="315" t="str">
        <f>AZ285</f>
        <v>Akciós Prolift700                     L bordás Slategrain</v>
      </c>
      <c r="AD102" s="203"/>
      <c r="AE102" s="203"/>
      <c r="AF102" s="203"/>
      <c r="AG102" s="203"/>
      <c r="AH102" s="203"/>
      <c r="AI102" s="203"/>
      <c r="AJ102" s="203"/>
      <c r="AK102" s="203"/>
      <c r="AL102" s="203"/>
      <c r="AM102" s="203" t="s">
        <v>554</v>
      </c>
    </row>
    <row r="103" spans="1:39" x14ac:dyDescent="0.3">
      <c r="A103" s="269"/>
      <c r="D103" s="203"/>
      <c r="E103" s="57">
        <v>8</v>
      </c>
      <c r="F103" s="57">
        <v>32</v>
      </c>
      <c r="G103" s="203">
        <v>55</v>
      </c>
      <c r="H103" s="203"/>
      <c r="I103" s="520" t="str">
        <f>I102</f>
        <v>CH 9016 Matt deluxe fehér, CH 905 Matt deluxe fekete, CH 9006 Matt deluxe fehéralumínium, CH 9007 Matt deluxe szürkealumínium, CH 7016 Matt deluxe antracitszürke, CH 8028 Matt deluxe földbarna, CH 703 Matt deluxe antracit metál</v>
      </c>
      <c r="J103" s="520"/>
      <c r="K103" s="520"/>
      <c r="L103" s="520"/>
      <c r="M103" s="520"/>
      <c r="N103" s="520"/>
      <c r="O103" s="520"/>
      <c r="P103" s="520"/>
      <c r="Q103" s="520"/>
      <c r="R103" s="520"/>
      <c r="S103" s="520"/>
      <c r="T103" s="520"/>
      <c r="U103" s="520"/>
      <c r="V103" s="520"/>
      <c r="W103" s="520"/>
      <c r="X103" s="520"/>
      <c r="Y103" s="520"/>
      <c r="Z103" s="520"/>
      <c r="AA103" s="520"/>
      <c r="AB103" s="203"/>
      <c r="AC103" s="315" t="str">
        <f>BB285</f>
        <v>Akciós Promatic L bordás Slategrain</v>
      </c>
      <c r="AD103" s="203"/>
      <c r="AE103" s="203"/>
      <c r="AF103" s="203"/>
      <c r="AG103" s="203"/>
      <c r="AH103" s="203"/>
      <c r="AI103" s="203"/>
      <c r="AJ103" s="203"/>
      <c r="AK103" s="203"/>
      <c r="AL103" s="203"/>
      <c r="AM103" s="203" t="s">
        <v>554</v>
      </c>
    </row>
    <row r="104" spans="1:39" x14ac:dyDescent="0.3">
      <c r="A104" s="269"/>
      <c r="D104" s="203"/>
      <c r="E104" s="57">
        <v>9</v>
      </c>
      <c r="F104" s="57">
        <v>33</v>
      </c>
      <c r="G104" s="203">
        <v>57</v>
      </c>
      <c r="H104" s="203"/>
      <c r="I104" s="520" t="str">
        <f>I102</f>
        <v>CH 9016 Matt deluxe fehér, CH 905 Matt deluxe fekete, CH 9006 Matt deluxe fehéralumínium, CH 9007 Matt deluxe szürkealumínium, CH 7016 Matt deluxe antracitszürke, CH 8028 Matt deluxe földbarna, CH 703 Matt deluxe antracit metál</v>
      </c>
      <c r="J104" s="520"/>
      <c r="K104" s="520"/>
      <c r="L104" s="520"/>
      <c r="M104" s="520"/>
      <c r="N104" s="520"/>
      <c r="O104" s="520"/>
      <c r="P104" s="520"/>
      <c r="Q104" s="520"/>
      <c r="R104" s="520"/>
      <c r="S104" s="520"/>
      <c r="T104" s="520"/>
      <c r="U104" s="520"/>
      <c r="V104" s="520"/>
      <c r="W104" s="520"/>
      <c r="X104" s="520"/>
      <c r="Y104" s="520"/>
      <c r="Z104" s="520"/>
      <c r="AA104" s="520"/>
      <c r="AB104" s="203"/>
      <c r="AC104" s="315" t="str">
        <f>BD285</f>
        <v>Akciós Supramatic E             L bordás Slategrain</v>
      </c>
      <c r="AD104" s="203"/>
      <c r="AE104" s="203"/>
      <c r="AF104" s="203"/>
      <c r="AG104" s="203"/>
      <c r="AH104" s="203"/>
      <c r="AI104" s="203"/>
      <c r="AJ104" s="203"/>
      <c r="AK104" s="203"/>
      <c r="AL104" s="203"/>
      <c r="AM104" s="203" t="s">
        <v>554</v>
      </c>
    </row>
    <row r="105" spans="1:39" x14ac:dyDescent="0.3">
      <c r="A105" s="269"/>
      <c r="D105" s="203"/>
      <c r="E105" s="203"/>
      <c r="F105" s="203"/>
      <c r="G105" s="203"/>
      <c r="H105" s="203"/>
      <c r="I105" s="203"/>
      <c r="J105" s="203"/>
      <c r="K105" s="203"/>
      <c r="L105" s="203"/>
      <c r="M105" s="203"/>
      <c r="N105" s="203"/>
      <c r="O105" s="203"/>
      <c r="P105" s="203"/>
      <c r="Q105" s="203"/>
      <c r="R105" s="203"/>
      <c r="S105" s="203"/>
      <c r="T105" s="203"/>
      <c r="U105" s="203"/>
      <c r="V105" s="203"/>
      <c r="W105" s="203"/>
      <c r="X105" s="203"/>
      <c r="Y105" s="203"/>
      <c r="Z105" s="203"/>
      <c r="AA105" s="203"/>
      <c r="AB105" s="203"/>
      <c r="AC105" s="203"/>
      <c r="AD105" s="203"/>
      <c r="AE105" s="203"/>
      <c r="AF105" s="203"/>
      <c r="AG105" s="203"/>
      <c r="AH105" s="203"/>
      <c r="AI105" s="203"/>
      <c r="AJ105" s="203"/>
      <c r="AK105" s="203"/>
      <c r="AL105" s="203"/>
      <c r="AM105" s="203"/>
    </row>
    <row r="106" spans="1:39" x14ac:dyDescent="0.3">
      <c r="A106" s="269"/>
      <c r="D106" s="203"/>
      <c r="E106" s="57">
        <v>1</v>
      </c>
      <c r="F106" s="203" t="s">
        <v>406</v>
      </c>
      <c r="G106" s="203"/>
      <c r="H106" s="203"/>
      <c r="I106" s="203"/>
      <c r="J106" s="203"/>
      <c r="K106" s="203"/>
      <c r="L106" s="203"/>
      <c r="M106" s="203"/>
      <c r="N106" s="203"/>
      <c r="O106" s="203"/>
      <c r="P106" s="203"/>
      <c r="Q106" s="203"/>
      <c r="R106" s="203"/>
      <c r="S106" s="203"/>
      <c r="T106" s="203"/>
      <c r="U106" s="203"/>
      <c r="V106" s="203"/>
      <c r="W106" s="203"/>
      <c r="X106" s="203"/>
      <c r="Y106" s="203"/>
      <c r="Z106" s="203"/>
      <c r="AA106" s="203"/>
      <c r="AB106" s="203"/>
      <c r="AC106" s="203"/>
      <c r="AD106" s="203"/>
      <c r="AE106" s="203"/>
      <c r="AF106" s="203"/>
      <c r="AG106" s="203"/>
      <c r="AH106" s="203"/>
      <c r="AI106" s="203"/>
      <c r="AJ106" s="203"/>
      <c r="AK106" s="203"/>
      <c r="AL106" s="203"/>
      <c r="AM106" s="203"/>
    </row>
    <row r="107" spans="1:39" x14ac:dyDescent="0.3">
      <c r="A107" s="269"/>
      <c r="D107" s="203"/>
      <c r="E107" s="57">
        <v>2</v>
      </c>
      <c r="F107" s="203" t="s">
        <v>407</v>
      </c>
      <c r="G107" s="203"/>
      <c r="H107" s="203"/>
      <c r="I107" s="203"/>
      <c r="J107" s="203"/>
      <c r="K107" s="203"/>
      <c r="L107" s="203"/>
      <c r="M107" s="203"/>
      <c r="N107" s="203"/>
      <c r="O107" s="203"/>
      <c r="P107" s="203"/>
      <c r="Q107" s="203"/>
      <c r="R107" s="203"/>
      <c r="S107" s="203"/>
      <c r="T107" s="203"/>
      <c r="U107" s="203"/>
      <c r="V107" s="203"/>
      <c r="W107" s="203"/>
      <c r="X107" s="203"/>
      <c r="Y107" s="203"/>
      <c r="Z107" s="203"/>
      <c r="AA107" s="203"/>
      <c r="AB107" s="203"/>
      <c r="AC107" s="203"/>
      <c r="AD107" s="203"/>
      <c r="AE107" s="203"/>
      <c r="AF107" s="203"/>
      <c r="AG107" s="203"/>
      <c r="AH107" s="203"/>
      <c r="AI107" s="203"/>
      <c r="AJ107" s="203"/>
      <c r="AK107" s="203"/>
      <c r="AL107" s="203"/>
      <c r="AM107" s="203"/>
    </row>
    <row r="108" spans="1:39" x14ac:dyDescent="0.3">
      <c r="A108" s="269"/>
      <c r="D108" s="203"/>
      <c r="E108" s="57">
        <v>3</v>
      </c>
      <c r="F108" s="203" t="s">
        <v>452</v>
      </c>
      <c r="G108" s="203"/>
      <c r="H108" s="203"/>
      <c r="I108" s="203"/>
      <c r="J108" s="203"/>
      <c r="K108" s="203"/>
      <c r="L108" s="203"/>
      <c r="M108" s="203"/>
      <c r="N108" s="203"/>
      <c r="O108" s="203"/>
      <c r="P108" s="203"/>
      <c r="Q108" s="203"/>
      <c r="R108" s="203"/>
      <c r="S108" s="203"/>
      <c r="T108" s="203"/>
      <c r="U108" s="203"/>
      <c r="V108" s="203"/>
      <c r="W108" s="203"/>
      <c r="X108" s="203"/>
      <c r="Y108" s="203"/>
      <c r="Z108" s="203"/>
      <c r="AA108" s="203"/>
      <c r="AB108" s="203"/>
      <c r="AC108" s="203"/>
      <c r="AD108" s="203"/>
      <c r="AE108" s="203"/>
      <c r="AF108" s="203"/>
      <c r="AG108" s="203"/>
      <c r="AH108" s="203"/>
      <c r="AI108" s="203"/>
      <c r="AJ108" s="203"/>
      <c r="AK108" s="203"/>
      <c r="AL108" s="203"/>
      <c r="AM108" s="203"/>
    </row>
    <row r="109" spans="1:39" x14ac:dyDescent="0.3">
      <c r="A109" s="269"/>
      <c r="D109" s="203" t="s">
        <v>551</v>
      </c>
      <c r="E109" s="203"/>
      <c r="F109" s="203"/>
      <c r="G109" s="203"/>
      <c r="H109" s="203"/>
      <c r="I109" s="203"/>
      <c r="J109" s="203"/>
      <c r="K109" s="203"/>
      <c r="L109" s="203"/>
      <c r="M109" s="203"/>
      <c r="N109" s="203"/>
      <c r="O109" s="203"/>
      <c r="P109" s="203"/>
      <c r="Q109" s="203"/>
      <c r="R109" s="203"/>
      <c r="S109" s="203"/>
      <c r="T109" s="203"/>
      <c r="U109" s="203"/>
      <c r="V109" s="203"/>
      <c r="W109" s="203"/>
      <c r="X109" s="203"/>
      <c r="Y109" s="203"/>
      <c r="Z109" s="203"/>
      <c r="AA109" s="203"/>
      <c r="AB109" s="203"/>
      <c r="AC109" s="203"/>
      <c r="AD109" s="203"/>
      <c r="AE109" s="203"/>
      <c r="AF109" s="203"/>
      <c r="AG109" s="203"/>
      <c r="AH109" s="203"/>
      <c r="AI109" s="203"/>
      <c r="AJ109" s="203"/>
      <c r="AK109" s="203"/>
      <c r="AL109" s="203"/>
      <c r="AM109" s="203"/>
    </row>
    <row r="110" spans="1:39" x14ac:dyDescent="0.3">
      <c r="A110" s="269"/>
      <c r="D110" s="530" t="s">
        <v>552</v>
      </c>
      <c r="E110" s="530"/>
      <c r="F110" s="541" t="str">
        <f>VLOOKUP(B209*10+B210,F96:I104,4)</f>
        <v>RAL9016, RAL9005, RAL9006, RAL9007, RAL7016, RAL8028, CH703 Antracit metál, Decocolor GoldenOak, Decocolor DarkOak, Decocolor NightOak</v>
      </c>
      <c r="G110" s="541"/>
      <c r="H110" s="541"/>
      <c r="I110" s="541"/>
      <c r="J110" s="541"/>
      <c r="K110" s="541"/>
      <c r="L110" s="541"/>
      <c r="M110" s="541"/>
      <c r="N110" s="541"/>
      <c r="O110" s="541"/>
      <c r="P110" s="541"/>
      <c r="Q110" s="541"/>
      <c r="R110" s="541"/>
      <c r="S110" s="541"/>
      <c r="T110" s="541"/>
      <c r="U110" s="541"/>
      <c r="V110" s="541"/>
      <c r="W110" s="541"/>
      <c r="X110" s="541"/>
      <c r="Y110" s="541"/>
      <c r="Z110" s="541"/>
      <c r="AA110" s="541"/>
      <c r="AB110" s="541"/>
      <c r="AC110" s="541"/>
      <c r="AD110" s="541"/>
      <c r="AE110" s="541"/>
      <c r="AF110" s="541"/>
      <c r="AG110" s="541"/>
      <c r="AH110" s="541"/>
      <c r="AI110" s="541"/>
      <c r="AJ110" s="541"/>
      <c r="AK110" s="541"/>
      <c r="AL110" s="541"/>
      <c r="AM110" s="203"/>
    </row>
    <row r="111" spans="1:39" x14ac:dyDescent="0.3">
      <c r="A111" s="269"/>
      <c r="D111" s="530" t="s">
        <v>553</v>
      </c>
      <c r="E111" s="530"/>
      <c r="F111" s="541" t="str">
        <f>VLOOKUP(B210,E106:F108,2)</f>
        <v>Supramatic 4 E motor, 1 db HSE4 BS távadóval (motor AKCIÓS ÁRÁT A KAPU ÁRA TARTALMAZZA)</v>
      </c>
      <c r="G111" s="541"/>
      <c r="H111" s="541"/>
      <c r="I111" s="541"/>
      <c r="J111" s="541"/>
      <c r="K111" s="541"/>
      <c r="L111" s="541"/>
      <c r="M111" s="541"/>
      <c r="N111" s="541"/>
      <c r="O111" s="541"/>
      <c r="P111" s="541"/>
      <c r="Q111" s="541"/>
      <c r="R111" s="541"/>
      <c r="S111" s="541"/>
      <c r="T111" s="541"/>
      <c r="U111" s="541"/>
      <c r="V111" s="541"/>
      <c r="W111" s="541"/>
      <c r="X111" s="541"/>
      <c r="Y111" s="541"/>
      <c r="Z111" s="541"/>
      <c r="AA111" s="541"/>
      <c r="AB111" s="541"/>
      <c r="AC111" s="541"/>
      <c r="AD111" s="541"/>
      <c r="AE111" s="541"/>
      <c r="AF111" s="541"/>
      <c r="AG111" s="541"/>
      <c r="AH111" s="541"/>
      <c r="AI111" s="541"/>
      <c r="AJ111" s="541"/>
      <c r="AK111" s="541"/>
      <c r="AL111" s="541"/>
      <c r="AM111" s="203"/>
    </row>
    <row r="112" spans="1:39" x14ac:dyDescent="0.3">
      <c r="A112" s="269"/>
      <c r="D112" s="203"/>
      <c r="E112" s="203"/>
      <c r="F112" s="203"/>
      <c r="G112" s="203"/>
      <c r="H112" s="203"/>
      <c r="I112" s="203"/>
      <c r="J112" s="203"/>
      <c r="K112" s="203"/>
      <c r="L112" s="203"/>
      <c r="M112" s="203"/>
      <c r="N112" s="203"/>
      <c r="O112" s="203"/>
      <c r="P112" s="203"/>
      <c r="Q112" s="203"/>
      <c r="R112" s="203"/>
      <c r="S112" s="203"/>
      <c r="T112" s="203"/>
      <c r="U112" s="203"/>
      <c r="V112" s="203"/>
      <c r="W112" s="203"/>
      <c r="X112" s="203"/>
      <c r="Y112" s="203"/>
      <c r="Z112" s="203"/>
      <c r="AA112" s="203"/>
      <c r="AB112" s="203"/>
      <c r="AC112" s="203"/>
      <c r="AD112" s="203"/>
      <c r="AE112" s="203"/>
      <c r="AF112" s="203"/>
      <c r="AG112" s="203"/>
      <c r="AH112" s="203"/>
      <c r="AI112" s="203"/>
      <c r="AJ112" s="203"/>
      <c r="AK112" s="203"/>
      <c r="AL112" s="203"/>
      <c r="AM112" s="203"/>
    </row>
    <row r="113" spans="1:19" x14ac:dyDescent="0.3">
      <c r="A113" s="269"/>
    </row>
    <row r="114" spans="1:19" x14ac:dyDescent="0.3">
      <c r="A114" s="268" t="s">
        <v>95</v>
      </c>
      <c r="B114" s="80">
        <v>66</v>
      </c>
      <c r="O114" s="53"/>
    </row>
    <row r="115" spans="1:19" x14ac:dyDescent="0.3">
      <c r="A115" s="269"/>
      <c r="C115" s="76">
        <f>VLOOKUP(B114,$A$288:$AE$358,24)</f>
        <v>5500</v>
      </c>
      <c r="D115" s="53" t="s">
        <v>104</v>
      </c>
      <c r="O115" s="53"/>
    </row>
    <row r="116" spans="1:19" x14ac:dyDescent="0.3">
      <c r="A116" s="269"/>
      <c r="C116" s="76">
        <f>VLOOKUP(B114,$A$288:$AE$357,25)</f>
        <v>2125</v>
      </c>
      <c r="D116" s="53" t="s">
        <v>97</v>
      </c>
      <c r="O116" s="53"/>
    </row>
    <row r="117" spans="1:19" x14ac:dyDescent="0.3">
      <c r="A117" s="269"/>
      <c r="C117" s="77" t="str">
        <f>VLOOKUP(B114,$A$288:$AE$355,26)</f>
        <v>torzió</v>
      </c>
      <c r="D117" s="53" t="s">
        <v>98</v>
      </c>
      <c r="O117" s="53"/>
    </row>
    <row r="118" spans="1:19" x14ac:dyDescent="0.3">
      <c r="A118" s="269"/>
      <c r="C118" s="76">
        <f>IF(B207=TRUE,210,VLOOKUP(B114,$A$288:$AE$355,27))</f>
        <v>210</v>
      </c>
      <c r="D118" s="53" t="s">
        <v>99</v>
      </c>
      <c r="O118" s="53"/>
    </row>
    <row r="119" spans="1:19" x14ac:dyDescent="0.3">
      <c r="A119" s="269"/>
      <c r="C119" s="76">
        <f>IF(B207=TRUE,210,VLOOKUP(B114,$A$288:$AE$355,28))</f>
        <v>210</v>
      </c>
      <c r="D119" s="53" t="s">
        <v>100</v>
      </c>
      <c r="O119" s="53"/>
    </row>
    <row r="120" spans="1:19" x14ac:dyDescent="0.3">
      <c r="A120" s="269"/>
      <c r="O120" s="332" t="s">
        <v>661</v>
      </c>
      <c r="P120" s="203"/>
      <c r="Q120" s="203"/>
      <c r="R120" s="203"/>
      <c r="S120" s="203"/>
    </row>
    <row r="121" spans="1:19" x14ac:dyDescent="0.3">
      <c r="A121" s="268" t="s">
        <v>243</v>
      </c>
      <c r="B121" s="260">
        <v>3</v>
      </c>
      <c r="C121" s="118" t="s">
        <v>571</v>
      </c>
      <c r="O121" s="242" t="s">
        <v>662</v>
      </c>
      <c r="P121" s="203"/>
      <c r="Q121" s="203"/>
      <c r="R121" s="203"/>
      <c r="S121" s="203"/>
    </row>
    <row r="122" spans="1:19" x14ac:dyDescent="0.3">
      <c r="A122" s="268"/>
      <c r="B122" s="261">
        <f>IF(B121=2,3,(IF(B121=3,4,1)))</f>
        <v>4</v>
      </c>
      <c r="D122" s="239" t="s">
        <v>359</v>
      </c>
      <c r="O122" s="242" t="s">
        <v>663</v>
      </c>
      <c r="P122" s="203"/>
      <c r="Q122" s="203"/>
      <c r="R122" s="203"/>
      <c r="S122" s="203"/>
    </row>
    <row r="123" spans="1:19" x14ac:dyDescent="0.3">
      <c r="A123" s="269"/>
      <c r="C123" s="117" t="b">
        <f>IF(B122=1,IF(B52=2,TRUE,FALSE),TRUE)</f>
        <v>1</v>
      </c>
      <c r="D123" s="239" t="s">
        <v>532</v>
      </c>
      <c r="O123" s="203"/>
      <c r="P123" s="203"/>
      <c r="Q123" s="203"/>
      <c r="R123" s="203"/>
      <c r="S123" s="203"/>
    </row>
    <row r="124" spans="1:19" x14ac:dyDescent="0.3">
      <c r="A124" s="269"/>
      <c r="C124" s="117" t="b">
        <f>IF(C115&gt;=6000,TRUE,FALSE)</f>
        <v>0</v>
      </c>
      <c r="D124" s="239" t="s">
        <v>573</v>
      </c>
      <c r="O124" s="242" t="s">
        <v>656</v>
      </c>
      <c r="P124" s="203"/>
      <c r="Q124" s="203"/>
      <c r="R124" s="117" t="b">
        <f>B52=2</f>
        <v>1</v>
      </c>
      <c r="S124" s="203"/>
    </row>
    <row r="125" spans="1:19" x14ac:dyDescent="0.3">
      <c r="A125" s="269"/>
      <c r="C125" s="77" t="str">
        <f>IF(B122=1,"nincs",IF(B122=2,"EcoLift",IF(B122=3,"Promatic",IF(C124=FALSE,"Supramatic E","Supramatic P"))))</f>
        <v>Supramatic E</v>
      </c>
      <c r="D125" s="53" t="s">
        <v>243</v>
      </c>
      <c r="O125" s="242" t="s">
        <v>657</v>
      </c>
      <c r="P125" s="203"/>
      <c r="Q125" s="203"/>
      <c r="R125" s="117" t="b">
        <f>B210=2</f>
        <v>0</v>
      </c>
      <c r="S125" s="203"/>
    </row>
    <row r="126" spans="1:19" x14ac:dyDescent="0.3">
      <c r="A126" s="269"/>
      <c r="C126" s="77" t="str">
        <f>IF(C124=TRUE,"K FS60",VLOOKUP(B114,$A$288:$AE$355,20))</f>
        <v>K</v>
      </c>
      <c r="D126" s="53" t="s">
        <v>101</v>
      </c>
      <c r="O126" s="242" t="s">
        <v>659</v>
      </c>
      <c r="P126" s="203"/>
      <c r="Q126" s="203"/>
      <c r="R126" s="229" t="str">
        <f>VLOOKUP($B$114,$A$288:$B$358,2)</f>
        <v>5500 x 2125 *</v>
      </c>
      <c r="S126" s="203"/>
    </row>
    <row r="127" spans="1:19" ht="10.5" thickBot="1" x14ac:dyDescent="0.35">
      <c r="A127" s="269"/>
      <c r="C127" s="76">
        <f>VLOOKUP(B114,$A$288:$AE$355,21)</f>
        <v>3200</v>
      </c>
      <c r="D127" s="53" t="s">
        <v>102</v>
      </c>
      <c r="O127" s="242" t="s">
        <v>658</v>
      </c>
      <c r="P127" s="203"/>
      <c r="Q127" s="203"/>
      <c r="R127" s="218" t="s">
        <v>660</v>
      </c>
      <c r="S127" s="203"/>
    </row>
    <row r="128" spans="1:19" x14ac:dyDescent="0.3">
      <c r="A128" s="269"/>
      <c r="C128" s="229">
        <f>IF(B122=2,2,1)</f>
        <v>1</v>
      </c>
      <c r="D128" s="53" t="s">
        <v>103</v>
      </c>
      <c r="O128" s="306"/>
      <c r="P128" s="229">
        <f>IF(R128=TRUE,1,0)</f>
        <v>0</v>
      </c>
      <c r="Q128" s="333" t="s">
        <v>467</v>
      </c>
      <c r="R128" s="117" t="b">
        <f>Q128=$R$126</f>
        <v>0</v>
      </c>
      <c r="S128" s="203"/>
    </row>
    <row r="129" spans="1:19" ht="10.5" thickBot="1" x14ac:dyDescent="0.35">
      <c r="A129" s="269"/>
      <c r="C129" s="77" t="str">
        <f>IF(B122=2,"433 MHz-es","bisecur")</f>
        <v>bisecur</v>
      </c>
      <c r="D129" s="239" t="s">
        <v>531</v>
      </c>
      <c r="O129" s="306"/>
      <c r="P129" s="229">
        <f>IF(R129=TRUE,1,0)</f>
        <v>0</v>
      </c>
      <c r="Q129" s="334" t="s">
        <v>468</v>
      </c>
      <c r="R129" s="117" t="b">
        <f>Q129=$R$126</f>
        <v>0</v>
      </c>
      <c r="S129" s="203"/>
    </row>
    <row r="130" spans="1:19" x14ac:dyDescent="0.3">
      <c r="A130" s="269"/>
      <c r="D130" s="262" t="s">
        <v>572</v>
      </c>
      <c r="E130" s="263"/>
      <c r="F130" s="264">
        <f>VLOOKUP(B114,$A$288:$AM$355,35+B122)</f>
        <v>166300</v>
      </c>
      <c r="G130" s="263"/>
      <c r="H130" s="263"/>
      <c r="I130" s="263"/>
      <c r="J130" s="263"/>
      <c r="K130" s="265"/>
      <c r="M130" s="253" t="s">
        <v>576</v>
      </c>
      <c r="O130" s="306"/>
      <c r="P130" s="229">
        <f>IF(R130=TRUE,1,0)</f>
        <v>0</v>
      </c>
      <c r="Q130" s="334" t="s">
        <v>466</v>
      </c>
      <c r="R130" s="117" t="b">
        <f>Q130=$R$126</f>
        <v>0</v>
      </c>
      <c r="S130" s="203"/>
    </row>
    <row r="131" spans="1:19" ht="10.5" thickBot="1" x14ac:dyDescent="0.35">
      <c r="A131" s="269"/>
      <c r="D131" s="266" t="s">
        <v>574</v>
      </c>
      <c r="E131" s="267"/>
      <c r="F131" s="539" t="str">
        <f ca="1">IF(Munka1!D181="nincs ilyen","Nincs ilyen!",IF(Munka1!B52=2,Munka1!F111,IF('Garázskapu árkalkulátor'!M16="","",CONCATENATE(Munka1!C125," motor ",Munka1!C126," sínnel, ",Munka1!C128," db ",Munka1!C129," távirányítóval"))))</f>
        <v>Supramatic 4 E motor, 1 db HSE4 BS távadóval (motor AKCIÓS ÁRÁT A KAPU ÁRA TARTALMAZZA)</v>
      </c>
      <c r="G131" s="539"/>
      <c r="H131" s="539"/>
      <c r="I131" s="539"/>
      <c r="J131" s="539"/>
      <c r="K131" s="540"/>
      <c r="O131" s="306"/>
      <c r="P131" s="229">
        <f>IF(R131=TRUE,1,0)</f>
        <v>0</v>
      </c>
      <c r="Q131" s="330"/>
      <c r="R131" s="117" t="b">
        <f>Q131=$R$126</f>
        <v>0</v>
      </c>
      <c r="S131" s="203"/>
    </row>
    <row r="132" spans="1:19" ht="10.5" thickBot="1" x14ac:dyDescent="0.35">
      <c r="A132" s="269"/>
      <c r="O132" s="306"/>
      <c r="P132" s="229">
        <f>IF(R132=TRUE,1,0)</f>
        <v>0</v>
      </c>
      <c r="Q132" s="331"/>
      <c r="R132" s="117" t="b">
        <f>Q132=$R$126</f>
        <v>0</v>
      </c>
      <c r="S132" s="203"/>
    </row>
    <row r="133" spans="1:19" x14ac:dyDescent="0.3">
      <c r="A133" s="269"/>
      <c r="D133" s="225" t="s">
        <v>4</v>
      </c>
      <c r="E133" s="225"/>
      <c r="F133" s="225" t="s">
        <v>560</v>
      </c>
      <c r="G133" s="225"/>
      <c r="H133" s="225" t="s">
        <v>567</v>
      </c>
      <c r="I133" s="225"/>
      <c r="J133" s="258" t="s">
        <v>568</v>
      </c>
      <c r="K133" s="258" t="s">
        <v>569</v>
      </c>
      <c r="L133" s="259" t="s">
        <v>575</v>
      </c>
      <c r="M133" s="203"/>
      <c r="O133" s="306"/>
      <c r="P133" s="203"/>
      <c r="Q133" s="203"/>
      <c r="R133" s="203"/>
      <c r="S133" s="203"/>
    </row>
    <row r="134" spans="1:19" x14ac:dyDescent="0.3">
      <c r="A134" s="269"/>
      <c r="D134" s="242" t="s">
        <v>444</v>
      </c>
      <c r="E134" s="203"/>
      <c r="F134" s="255">
        <v>87600</v>
      </c>
      <c r="G134" s="203"/>
      <c r="H134" s="242" t="s">
        <v>439</v>
      </c>
      <c r="I134" s="203"/>
      <c r="J134" s="257">
        <f>F134+F137</f>
        <v>123200</v>
      </c>
      <c r="K134" s="218"/>
      <c r="L134" s="203"/>
      <c r="M134" s="203"/>
      <c r="O134" s="242" t="s">
        <v>664</v>
      </c>
      <c r="P134" s="203"/>
      <c r="Q134" s="203"/>
      <c r="R134" s="229" t="b">
        <f>IF(AND(SUM(P128:P132)&gt;0,R124=TRUE,R125=TRUE),TRUE,FALSE)</f>
        <v>0</v>
      </c>
      <c r="S134" s="203"/>
    </row>
    <row r="135" spans="1:19" x14ac:dyDescent="0.3">
      <c r="A135" s="269"/>
      <c r="D135" s="242" t="s">
        <v>443</v>
      </c>
      <c r="E135" s="203"/>
      <c r="F135" s="255">
        <v>130700</v>
      </c>
      <c r="G135" s="203"/>
      <c r="H135" s="242" t="s">
        <v>440</v>
      </c>
      <c r="I135" s="203"/>
      <c r="J135" s="257">
        <f>F134+F138</f>
        <v>133300</v>
      </c>
      <c r="K135" s="218"/>
      <c r="L135" s="203"/>
      <c r="M135" s="203"/>
      <c r="O135" s="203"/>
      <c r="P135" s="203"/>
      <c r="Q135" s="203"/>
      <c r="R135" s="203"/>
      <c r="S135" s="203"/>
    </row>
    <row r="136" spans="1:19" x14ac:dyDescent="0.3">
      <c r="A136" s="269"/>
      <c r="D136" s="242" t="s">
        <v>442</v>
      </c>
      <c r="E136" s="203"/>
      <c r="F136" s="255">
        <v>150700</v>
      </c>
      <c r="G136" s="203"/>
      <c r="H136" s="242" t="s">
        <v>441</v>
      </c>
      <c r="I136" s="203"/>
      <c r="J136" s="257">
        <f>F134+F139</f>
        <v>154900</v>
      </c>
      <c r="K136" s="218"/>
      <c r="L136" s="203"/>
      <c r="M136" s="203"/>
      <c r="O136" s="53"/>
    </row>
    <row r="137" spans="1:19" x14ac:dyDescent="0.3">
      <c r="A137" s="269"/>
      <c r="D137" s="242" t="s">
        <v>445</v>
      </c>
      <c r="E137" s="203"/>
      <c r="F137" s="255">
        <v>35600</v>
      </c>
      <c r="G137" s="203"/>
      <c r="H137" s="242" t="s">
        <v>561</v>
      </c>
      <c r="I137" s="203"/>
      <c r="J137" s="257">
        <f>F135+F137</f>
        <v>166300</v>
      </c>
      <c r="K137" s="257">
        <f>F135+F140</f>
        <v>189000</v>
      </c>
      <c r="L137" s="203"/>
      <c r="M137" s="203"/>
      <c r="O137" s="53"/>
    </row>
    <row r="138" spans="1:19" x14ac:dyDescent="0.3">
      <c r="A138" s="269"/>
      <c r="D138" s="242" t="s">
        <v>446</v>
      </c>
      <c r="E138" s="203"/>
      <c r="F138" s="255">
        <v>45700</v>
      </c>
      <c r="G138" s="203"/>
      <c r="H138" s="242" t="s">
        <v>562</v>
      </c>
      <c r="I138" s="203"/>
      <c r="J138" s="257">
        <f>F135+F138</f>
        <v>176400</v>
      </c>
      <c r="K138" s="218"/>
      <c r="L138" s="203"/>
      <c r="M138" s="203"/>
      <c r="O138" s="53"/>
    </row>
    <row r="139" spans="1:19" x14ac:dyDescent="0.3">
      <c r="A139" s="269"/>
      <c r="D139" s="242" t="s">
        <v>447</v>
      </c>
      <c r="E139" s="203"/>
      <c r="F139" s="255">
        <v>67300</v>
      </c>
      <c r="G139" s="203"/>
      <c r="H139" s="242" t="s">
        <v>563</v>
      </c>
      <c r="I139" s="203"/>
      <c r="J139" s="257">
        <f>F135+F139</f>
        <v>198000</v>
      </c>
      <c r="K139" s="218"/>
      <c r="L139" s="203"/>
      <c r="M139" s="203"/>
    </row>
    <row r="140" spans="1:19" x14ac:dyDescent="0.3">
      <c r="A140" s="269"/>
      <c r="D140" s="242" t="s">
        <v>448</v>
      </c>
      <c r="E140" s="203"/>
      <c r="F140" s="255">
        <v>58300</v>
      </c>
      <c r="G140" s="203"/>
      <c r="H140" s="242" t="s">
        <v>564</v>
      </c>
      <c r="I140" s="203"/>
      <c r="J140" s="257">
        <f>F136+F137</f>
        <v>186300</v>
      </c>
      <c r="K140" s="257">
        <f>F136+F140</f>
        <v>209000</v>
      </c>
      <c r="L140" s="203"/>
      <c r="M140" s="203"/>
    </row>
    <row r="141" spans="1:19" x14ac:dyDescent="0.3">
      <c r="A141" s="269"/>
      <c r="D141" s="203"/>
      <c r="E141" s="203"/>
      <c r="F141" s="203"/>
      <c r="G141" s="203"/>
      <c r="H141" s="242" t="s">
        <v>565</v>
      </c>
      <c r="I141" s="203"/>
      <c r="J141" s="257">
        <f>F136+F138</f>
        <v>196400</v>
      </c>
      <c r="K141" s="218"/>
      <c r="L141" s="203"/>
      <c r="M141" s="203"/>
    </row>
    <row r="142" spans="1:19" x14ac:dyDescent="0.3">
      <c r="A142" s="269"/>
      <c r="D142" s="203"/>
      <c r="E142" s="203"/>
      <c r="F142" s="203"/>
      <c r="G142" s="203"/>
      <c r="H142" s="242" t="s">
        <v>566</v>
      </c>
      <c r="I142" s="203"/>
      <c r="J142" s="257">
        <f>F136+F139</f>
        <v>218000</v>
      </c>
      <c r="K142" s="218"/>
      <c r="L142" s="203"/>
      <c r="M142" s="203"/>
    </row>
    <row r="143" spans="1:19" x14ac:dyDescent="0.3">
      <c r="A143" s="269"/>
      <c r="O143" s="53"/>
    </row>
    <row r="144" spans="1:19" x14ac:dyDescent="0.3">
      <c r="A144" s="268" t="s">
        <v>106</v>
      </c>
      <c r="B144" s="171" t="s">
        <v>527</v>
      </c>
      <c r="C144" s="117">
        <v>3</v>
      </c>
      <c r="D144" s="53" t="s">
        <v>510</v>
      </c>
      <c r="O144" s="53"/>
    </row>
    <row r="145" spans="1:15" x14ac:dyDescent="0.3">
      <c r="A145" s="269"/>
      <c r="D145" s="172" t="s">
        <v>528</v>
      </c>
      <c r="O145" s="53"/>
    </row>
    <row r="146" spans="1:15" x14ac:dyDescent="0.3">
      <c r="A146" s="269"/>
      <c r="O146" s="53"/>
    </row>
    <row r="147" spans="1:15" x14ac:dyDescent="0.3">
      <c r="A147" s="268" t="s">
        <v>105</v>
      </c>
      <c r="B147" s="80">
        <v>1</v>
      </c>
      <c r="C147" s="243">
        <v>1</v>
      </c>
      <c r="D147" s="74" t="s">
        <v>537</v>
      </c>
      <c r="O147" s="53"/>
    </row>
    <row r="148" spans="1:15" x14ac:dyDescent="0.3">
      <c r="A148" s="269"/>
      <c r="C148" s="243">
        <v>2</v>
      </c>
      <c r="D148" s="74" t="s">
        <v>85</v>
      </c>
      <c r="O148" s="53"/>
    </row>
    <row r="149" spans="1:15" x14ac:dyDescent="0.3">
      <c r="A149" s="269"/>
      <c r="C149" s="243">
        <v>3</v>
      </c>
      <c r="D149" s="74" t="s">
        <v>538</v>
      </c>
      <c r="O149" s="53"/>
    </row>
    <row r="150" spans="1:15" x14ac:dyDescent="0.3">
      <c r="A150" s="269"/>
      <c r="C150" s="243">
        <v>4</v>
      </c>
      <c r="D150" s="74" t="s">
        <v>539</v>
      </c>
      <c r="O150" s="53"/>
    </row>
    <row r="151" spans="1:15" x14ac:dyDescent="0.3">
      <c r="A151" s="269"/>
      <c r="C151" s="117">
        <f>IF(B52=2,IF(B209=1,3,4),B147)</f>
        <v>3</v>
      </c>
      <c r="D151" s="53" t="s">
        <v>387</v>
      </c>
      <c r="O151" s="53"/>
    </row>
    <row r="152" spans="1:15" x14ac:dyDescent="0.3">
      <c r="A152" s="269"/>
      <c r="C152" s="117">
        <f>B147*10</f>
        <v>10</v>
      </c>
      <c r="D152" s="53" t="s">
        <v>112</v>
      </c>
      <c r="O152" s="53"/>
    </row>
    <row r="153" spans="1:15" x14ac:dyDescent="0.3">
      <c r="A153" s="269"/>
      <c r="C153" s="117" t="str">
        <f>IF(C151=1,D147,IF(C151=2,D148,IF(C151=3,D149,D150)))</f>
        <v>M bordás</v>
      </c>
      <c r="O153" s="53"/>
    </row>
    <row r="154" spans="1:15" x14ac:dyDescent="0.3">
      <c r="A154" s="269"/>
      <c r="C154" s="117" t="str">
        <f>VLOOKUP(E158,I157:M171,5)</f>
        <v>woodgrain</v>
      </c>
      <c r="D154" s="241" t="s">
        <v>536</v>
      </c>
      <c r="E154" s="241"/>
      <c r="F154" s="241"/>
      <c r="G154" s="241"/>
      <c r="H154" s="241"/>
      <c r="I154" s="241"/>
      <c r="J154" s="241"/>
      <c r="K154" s="241"/>
      <c r="L154" s="241"/>
      <c r="M154" s="241"/>
      <c r="O154" s="53"/>
    </row>
    <row r="155" spans="1:15" x14ac:dyDescent="0.3">
      <c r="A155" s="269"/>
      <c r="D155" s="241"/>
      <c r="E155" s="117">
        <f>B173</f>
        <v>1</v>
      </c>
      <c r="F155" s="221" t="s">
        <v>455</v>
      </c>
      <c r="G155" s="218"/>
      <c r="H155" s="203"/>
      <c r="I155" s="218" t="s">
        <v>534</v>
      </c>
      <c r="J155" s="218" t="s">
        <v>461</v>
      </c>
      <c r="K155" s="218" t="s">
        <v>462</v>
      </c>
      <c r="L155" s="218" t="s">
        <v>463</v>
      </c>
      <c r="M155" s="218" t="s">
        <v>535</v>
      </c>
      <c r="O155" s="53"/>
    </row>
    <row r="156" spans="1:15" x14ac:dyDescent="0.3">
      <c r="A156" s="269"/>
      <c r="D156" s="241"/>
      <c r="E156" s="117">
        <f>B52</f>
        <v>2</v>
      </c>
      <c r="F156" s="221" t="s">
        <v>454</v>
      </c>
      <c r="G156" s="218"/>
      <c r="H156" s="203"/>
      <c r="I156" s="218"/>
      <c r="J156" s="218">
        <f>E157</f>
        <v>1</v>
      </c>
      <c r="K156" s="218">
        <f>E155</f>
        <v>1</v>
      </c>
      <c r="L156" s="218">
        <f>E156</f>
        <v>2</v>
      </c>
      <c r="M156" s="218"/>
      <c r="O156" s="53"/>
    </row>
    <row r="157" spans="1:15" x14ac:dyDescent="0.3">
      <c r="A157" s="269"/>
      <c r="D157" s="241"/>
      <c r="E157" s="117">
        <f>B209</f>
        <v>1</v>
      </c>
      <c r="F157" s="221" t="s">
        <v>471</v>
      </c>
      <c r="G157" s="218"/>
      <c r="H157" s="218"/>
      <c r="I157" s="218">
        <v>111</v>
      </c>
      <c r="J157" s="203" t="s">
        <v>456</v>
      </c>
      <c r="K157" s="203" t="s">
        <v>17</v>
      </c>
      <c r="L157" s="203"/>
      <c r="M157" s="203" t="s">
        <v>458</v>
      </c>
      <c r="O157" s="53"/>
    </row>
    <row r="158" spans="1:15" x14ac:dyDescent="0.3">
      <c r="A158" s="269"/>
      <c r="D158" s="241"/>
      <c r="E158" s="117">
        <f>E156*100+E155*10+E157</f>
        <v>211</v>
      </c>
      <c r="F158" s="241" t="s">
        <v>533</v>
      </c>
      <c r="G158" s="218"/>
      <c r="H158" s="218"/>
      <c r="I158" s="218">
        <v>112</v>
      </c>
      <c r="J158" s="203" t="s">
        <v>456</v>
      </c>
      <c r="K158" s="203" t="s">
        <v>17</v>
      </c>
      <c r="L158" s="203"/>
      <c r="M158" s="203" t="s">
        <v>458</v>
      </c>
      <c r="O158" s="53"/>
    </row>
    <row r="159" spans="1:15" x14ac:dyDescent="0.3">
      <c r="A159" s="269"/>
      <c r="D159" s="241"/>
      <c r="E159" s="203"/>
      <c r="F159" s="242" t="str">
        <f>CONCATENATE("aminek a találata: ",C154)</f>
        <v>aminek a találata: woodgrain</v>
      </c>
      <c r="G159" s="218"/>
      <c r="H159" s="218"/>
      <c r="I159" s="218">
        <v>121</v>
      </c>
      <c r="J159" s="203" t="s">
        <v>456</v>
      </c>
      <c r="K159" s="203" t="s">
        <v>18</v>
      </c>
      <c r="L159" s="203"/>
      <c r="M159" s="203" t="s">
        <v>458</v>
      </c>
      <c r="O159" s="53"/>
    </row>
    <row r="160" spans="1:15" x14ac:dyDescent="0.3">
      <c r="A160" s="269"/>
      <c r="I160" s="218">
        <v>122</v>
      </c>
      <c r="J160" s="203" t="s">
        <v>456</v>
      </c>
      <c r="K160" s="203" t="s">
        <v>18</v>
      </c>
      <c r="L160" s="203"/>
      <c r="M160" s="203" t="s">
        <v>458</v>
      </c>
      <c r="O160" s="53"/>
    </row>
    <row r="161" spans="1:15" x14ac:dyDescent="0.3">
      <c r="A161" s="269"/>
      <c r="I161" s="218">
        <v>131</v>
      </c>
      <c r="J161" s="203" t="s">
        <v>456</v>
      </c>
      <c r="K161" s="203" t="s">
        <v>88</v>
      </c>
      <c r="L161" s="203"/>
      <c r="M161" s="203" t="s">
        <v>460</v>
      </c>
      <c r="O161" s="53"/>
    </row>
    <row r="162" spans="1:15" x14ac:dyDescent="0.3">
      <c r="A162" s="269"/>
      <c r="F162" s="54"/>
      <c r="G162" s="54"/>
      <c r="H162" s="54"/>
      <c r="I162" s="218">
        <v>132</v>
      </c>
      <c r="J162" s="203" t="s">
        <v>456</v>
      </c>
      <c r="K162" s="203" t="s">
        <v>88</v>
      </c>
      <c r="L162" s="203"/>
      <c r="M162" s="203" t="s">
        <v>460</v>
      </c>
      <c r="O162" s="53"/>
    </row>
    <row r="163" spans="1:15" x14ac:dyDescent="0.3">
      <c r="A163" s="269"/>
      <c r="C163" s="204"/>
      <c r="D163" s="78"/>
      <c r="F163" s="54"/>
      <c r="G163" s="54"/>
      <c r="H163" s="54"/>
      <c r="I163" s="218">
        <v>211</v>
      </c>
      <c r="J163" s="203" t="s">
        <v>457</v>
      </c>
      <c r="K163" s="203"/>
      <c r="L163" s="203" t="s">
        <v>458</v>
      </c>
      <c r="M163" s="203" t="s">
        <v>458</v>
      </c>
      <c r="O163" s="53"/>
    </row>
    <row r="164" spans="1:15" x14ac:dyDescent="0.3">
      <c r="A164" s="269"/>
      <c r="C164" s="204"/>
      <c r="D164" s="78"/>
      <c r="F164" s="54"/>
      <c r="G164" s="54"/>
      <c r="H164" s="54"/>
      <c r="I164" s="218">
        <v>212</v>
      </c>
      <c r="J164" s="203" t="s">
        <v>457</v>
      </c>
      <c r="K164" s="203"/>
      <c r="L164" s="203" t="s">
        <v>459</v>
      </c>
      <c r="M164" s="220" t="s">
        <v>459</v>
      </c>
      <c r="O164" s="53"/>
    </row>
    <row r="165" spans="1:15" x14ac:dyDescent="0.3">
      <c r="A165" s="269"/>
      <c r="D165" s="78"/>
      <c r="F165" s="54"/>
      <c r="G165" s="54"/>
      <c r="H165" s="54"/>
      <c r="I165" s="218">
        <v>213</v>
      </c>
      <c r="J165" s="203" t="s">
        <v>457</v>
      </c>
      <c r="K165" s="203"/>
      <c r="L165" s="203" t="s">
        <v>472</v>
      </c>
      <c r="M165" s="203" t="s">
        <v>472</v>
      </c>
      <c r="O165" s="53"/>
    </row>
    <row r="166" spans="1:15" x14ac:dyDescent="0.3">
      <c r="A166" s="269"/>
      <c r="C166" s="204"/>
      <c r="H166" s="54"/>
      <c r="I166" s="218">
        <v>221</v>
      </c>
      <c r="J166" s="203" t="s">
        <v>457</v>
      </c>
      <c r="K166" s="203"/>
      <c r="L166" s="203" t="s">
        <v>458</v>
      </c>
      <c r="M166" s="203" t="s">
        <v>458</v>
      </c>
      <c r="O166" s="53"/>
    </row>
    <row r="167" spans="1:15" x14ac:dyDescent="0.3">
      <c r="A167" s="269"/>
      <c r="H167" s="54"/>
      <c r="I167" s="218">
        <v>222</v>
      </c>
      <c r="J167" s="203" t="s">
        <v>457</v>
      </c>
      <c r="K167" s="203"/>
      <c r="L167" s="203" t="s">
        <v>459</v>
      </c>
      <c r="M167" s="220" t="s">
        <v>459</v>
      </c>
      <c r="O167" s="53"/>
    </row>
    <row r="168" spans="1:15" x14ac:dyDescent="0.3">
      <c r="A168" s="269"/>
      <c r="F168" s="54"/>
      <c r="G168" s="54"/>
      <c r="H168" s="54"/>
      <c r="I168" s="218">
        <v>223</v>
      </c>
      <c r="J168" s="203" t="s">
        <v>457</v>
      </c>
      <c r="K168" s="203"/>
      <c r="L168" s="203" t="s">
        <v>472</v>
      </c>
      <c r="M168" s="203" t="s">
        <v>472</v>
      </c>
      <c r="O168" s="53"/>
    </row>
    <row r="169" spans="1:15" x14ac:dyDescent="0.3">
      <c r="A169" s="269"/>
      <c r="H169" s="54"/>
      <c r="I169" s="218">
        <v>231</v>
      </c>
      <c r="J169" s="203" t="s">
        <v>457</v>
      </c>
      <c r="K169" s="203"/>
      <c r="L169" s="203" t="s">
        <v>458</v>
      </c>
      <c r="M169" s="203" t="s">
        <v>458</v>
      </c>
      <c r="O169" s="53"/>
    </row>
    <row r="170" spans="1:15" x14ac:dyDescent="0.3">
      <c r="A170" s="269"/>
      <c r="F170" s="54"/>
      <c r="G170" s="54"/>
      <c r="H170" s="54"/>
      <c r="I170" s="218">
        <v>232</v>
      </c>
      <c r="J170" s="203" t="s">
        <v>457</v>
      </c>
      <c r="K170" s="203"/>
      <c r="L170" s="203" t="s">
        <v>459</v>
      </c>
      <c r="M170" s="220" t="s">
        <v>459</v>
      </c>
      <c r="O170" s="53"/>
    </row>
    <row r="171" spans="1:15" x14ac:dyDescent="0.3">
      <c r="A171" s="269"/>
      <c r="F171" s="54"/>
      <c r="G171" s="54"/>
      <c r="H171" s="54"/>
      <c r="I171" s="218">
        <v>233</v>
      </c>
      <c r="J171" s="203" t="s">
        <v>457</v>
      </c>
      <c r="K171" s="203"/>
      <c r="L171" s="203" t="s">
        <v>472</v>
      </c>
      <c r="M171" s="203" t="s">
        <v>472</v>
      </c>
      <c r="O171" s="53"/>
    </row>
    <row r="172" spans="1:15" x14ac:dyDescent="0.3">
      <c r="A172" s="269"/>
      <c r="O172" s="53"/>
    </row>
    <row r="173" spans="1:15" x14ac:dyDescent="0.3">
      <c r="A173" s="268" t="s">
        <v>111</v>
      </c>
      <c r="B173" s="80">
        <v>1</v>
      </c>
      <c r="C173" s="74" t="s">
        <v>108</v>
      </c>
      <c r="O173" s="53"/>
    </row>
    <row r="174" spans="1:15" x14ac:dyDescent="0.3">
      <c r="A174" s="269"/>
      <c r="C174" s="74" t="s">
        <v>109</v>
      </c>
      <c r="O174" s="53"/>
    </row>
    <row r="175" spans="1:15" x14ac:dyDescent="0.3">
      <c r="A175" s="269"/>
      <c r="C175" s="74" t="s">
        <v>110</v>
      </c>
      <c r="O175" s="53"/>
    </row>
    <row r="176" spans="1:15" x14ac:dyDescent="0.3">
      <c r="A176" s="269"/>
      <c r="C176" s="117">
        <f>B173*100</f>
        <v>100</v>
      </c>
      <c r="D176" s="53" t="s">
        <v>113</v>
      </c>
      <c r="O176" s="53"/>
    </row>
    <row r="177" spans="1:15" x14ac:dyDescent="0.3">
      <c r="A177" s="269"/>
      <c r="O177" s="53"/>
    </row>
    <row r="178" spans="1:15" x14ac:dyDescent="0.3">
      <c r="A178" s="268" t="s">
        <v>121</v>
      </c>
      <c r="O178" s="53"/>
    </row>
    <row r="179" spans="1:15" x14ac:dyDescent="0.3">
      <c r="A179" s="269"/>
      <c r="C179" s="76">
        <f>IF(B114&lt;45,1,2)</f>
        <v>2</v>
      </c>
      <c r="D179" s="78" t="s">
        <v>287</v>
      </c>
      <c r="O179" s="53"/>
    </row>
    <row r="180" spans="1:15" ht="10.5" thickBot="1" x14ac:dyDescent="0.35">
      <c r="A180" s="269"/>
      <c r="C180" s="76" t="str">
        <f>CONCATENATE(C115,"x",C116," mm ",IF(C$144=1,"LTE 40 szigeteletlen",IF(C$144=2,"EPU 40 2 cm szigetelt",IF(B52=2,"4,2 cm szigetelésű Renomatic","LPU 40 4,2 cm szigetelt")))," ",IF(C$151=1,"S bordás",IF(C$151=2,"kazettás",IF(C$151=3,"M bordás","L bordás")))," ",C154,IF(B52=2," felületű",IF(B$173=1," fehér felületű",IF(B$173=2," színes  felületű"," felületű, dekor")))," garázskapu ",C117,"rugós sínvezetéssel",IF(B52=2," (ÉVES AKCIÓS ÁR!)",""))</f>
        <v>5500x2125 mm 4,2 cm szigetelésű Renomatic M bordás woodgrain felületű garázskapu torziórugós sínvezetéssel (ÉVES AKCIÓS ÁR!)</v>
      </c>
      <c r="D180" s="76"/>
      <c r="E180" s="76"/>
      <c r="F180" s="76"/>
      <c r="G180" s="76"/>
      <c r="H180" s="76"/>
      <c r="I180" s="76"/>
      <c r="J180" s="76"/>
      <c r="K180" s="76"/>
      <c r="O180" s="53"/>
    </row>
    <row r="181" spans="1:15" ht="10.5" thickBot="1" x14ac:dyDescent="0.35">
      <c r="A181" s="269"/>
      <c r="C181" s="78" t="s">
        <v>591</v>
      </c>
      <c r="D181" s="271">
        <f ca="1">IF(B52=1,IF(VLOOKUP(B114,$A$288:$BE$358,D64)=0,"nincs ilyen",VLOOKUP(B114,$A$288:$BE$358,D64)),IF(VLOOKUP(B114,$A$288:$BE$358,D98)="nincs","nincs ilyen",VLOOKUP(B114,$A$288:$BE$358,D98)))</f>
        <v>575512</v>
      </c>
      <c r="E181" s="114" t="s">
        <v>237</v>
      </c>
      <c r="M181" s="253" t="s">
        <v>576</v>
      </c>
      <c r="O181" s="53"/>
    </row>
    <row r="182" spans="1:15" x14ac:dyDescent="0.3">
      <c r="A182" s="269"/>
      <c r="O182" s="53"/>
    </row>
    <row r="183" spans="1:15" x14ac:dyDescent="0.3">
      <c r="A183" s="268" t="s">
        <v>511</v>
      </c>
      <c r="B183" s="80" t="b">
        <v>0</v>
      </c>
      <c r="C183" s="113" t="s">
        <v>234</v>
      </c>
      <c r="O183" s="53"/>
    </row>
    <row r="184" spans="1:15" x14ac:dyDescent="0.3">
      <c r="A184" s="269"/>
      <c r="C184" s="270">
        <v>26100</v>
      </c>
      <c r="D184" s="78" t="s">
        <v>346</v>
      </c>
      <c r="M184" s="253" t="s">
        <v>576</v>
      </c>
      <c r="O184" s="53"/>
    </row>
    <row r="185" spans="1:15" ht="10.5" thickBot="1" x14ac:dyDescent="0.35">
      <c r="A185" s="269"/>
      <c r="C185" s="270">
        <v>7400</v>
      </c>
      <c r="D185" s="78" t="s">
        <v>345</v>
      </c>
      <c r="M185" s="253" t="s">
        <v>576</v>
      </c>
      <c r="O185" s="53"/>
    </row>
    <row r="186" spans="1:15" ht="10.5" thickBot="1" x14ac:dyDescent="0.35">
      <c r="A186" s="269"/>
      <c r="C186" s="271">
        <f>VLOOKUP(B114,$A$288:$BE$355,35)</f>
        <v>208800</v>
      </c>
      <c r="D186" s="114" t="s">
        <v>237</v>
      </c>
      <c r="E186" s="157" t="s">
        <v>236</v>
      </c>
      <c r="M186" s="253" t="s">
        <v>576</v>
      </c>
      <c r="O186" s="53"/>
    </row>
    <row r="187" spans="1:15" x14ac:dyDescent="0.3">
      <c r="A187" s="269"/>
      <c r="O187" s="53"/>
    </row>
    <row r="188" spans="1:15" x14ac:dyDescent="0.3">
      <c r="A188" s="268" t="s">
        <v>497</v>
      </c>
      <c r="B188" s="81" t="b">
        <v>0</v>
      </c>
      <c r="O188" s="53"/>
    </row>
    <row r="189" spans="1:15" ht="10.5" thickBot="1" x14ac:dyDescent="0.35">
      <c r="A189" s="269"/>
      <c r="C189" s="76" t="str">
        <f>IF(C123=TRUE,IF(B200=1,"(szükséges a kioldó miatt)","(nem szükséges a motor miatt)"),"(szükséges a zárhatóság miatt)")</f>
        <v>(nem szükséges a motor miatt)</v>
      </c>
      <c r="O189" s="53"/>
    </row>
    <row r="190" spans="1:15" ht="10.5" thickBot="1" x14ac:dyDescent="0.35">
      <c r="A190" s="269"/>
      <c r="C190" s="272">
        <v>23600</v>
      </c>
      <c r="D190" s="78" t="s">
        <v>116</v>
      </c>
      <c r="E190" s="78" t="s">
        <v>577</v>
      </c>
      <c r="M190" s="253" t="s">
        <v>576</v>
      </c>
      <c r="O190" s="53"/>
    </row>
    <row r="191" spans="1:15" x14ac:dyDescent="0.3">
      <c r="A191" s="269"/>
      <c r="O191" s="53"/>
    </row>
    <row r="192" spans="1:15" x14ac:dyDescent="0.3">
      <c r="A192" s="268" t="s">
        <v>512</v>
      </c>
      <c r="B192" s="81" t="b">
        <f>IF(B193=1,FALSE,TRUE)</f>
        <v>0</v>
      </c>
      <c r="D192" s="74"/>
      <c r="G192" s="153" t="s">
        <v>116</v>
      </c>
      <c r="H192" s="153" t="s">
        <v>225</v>
      </c>
      <c r="I192" s="151"/>
      <c r="J192" s="151"/>
    </row>
    <row r="193" spans="1:15" x14ac:dyDescent="0.3">
      <c r="A193" s="269"/>
      <c r="B193" s="80">
        <v>1</v>
      </c>
      <c r="C193" s="74" t="s">
        <v>45</v>
      </c>
    </row>
    <row r="194" spans="1:15" ht="10.5" thickBot="1" x14ac:dyDescent="0.35">
      <c r="A194" s="269"/>
      <c r="C194" s="76" t="str">
        <f>IF(B193=1,"",IF(B52=1,E197,IF(OR(D98=41,D98=43),E198,E197)))</f>
        <v/>
      </c>
    </row>
    <row r="195" spans="1:15" ht="10.5" thickBot="1" x14ac:dyDescent="0.35">
      <c r="A195" s="269"/>
      <c r="C195" s="273" t="str">
        <f>IF(B193=1,"",IF(B52=1,I197,IF(OR(D98=41,D98=43),I198,I197)))</f>
        <v/>
      </c>
      <c r="D195" s="114" t="s">
        <v>579</v>
      </c>
      <c r="M195" s="253" t="s">
        <v>576</v>
      </c>
    </row>
    <row r="196" spans="1:15" x14ac:dyDescent="0.3">
      <c r="A196" s="269"/>
      <c r="D196" s="57" t="s">
        <v>390</v>
      </c>
      <c r="E196" s="203" t="s">
        <v>391</v>
      </c>
      <c r="F196" s="203"/>
      <c r="G196" s="203"/>
      <c r="H196" s="203"/>
      <c r="I196" s="203" t="s">
        <v>392</v>
      </c>
    </row>
    <row r="197" spans="1:15" x14ac:dyDescent="0.3">
      <c r="A197" s="269"/>
      <c r="D197" s="57">
        <v>1</v>
      </c>
      <c r="E197" s="203" t="s">
        <v>507</v>
      </c>
      <c r="F197" s="203"/>
      <c r="G197" s="203"/>
      <c r="H197" s="203"/>
      <c r="I197" s="270">
        <v>15200</v>
      </c>
      <c r="J197" s="114" t="s">
        <v>519</v>
      </c>
      <c r="K197" s="114" t="s">
        <v>578</v>
      </c>
      <c r="M197" s="253" t="s">
        <v>576</v>
      </c>
    </row>
    <row r="198" spans="1:15" x14ac:dyDescent="0.3">
      <c r="A198" s="269"/>
      <c r="D198" s="57">
        <v>2</v>
      </c>
      <c r="E198" s="203" t="s">
        <v>393</v>
      </c>
      <c r="F198" s="203"/>
      <c r="G198" s="203"/>
      <c r="H198" s="203"/>
      <c r="I198" s="255">
        <v>11600</v>
      </c>
      <c r="J198" s="114" t="s">
        <v>519</v>
      </c>
      <c r="K198" s="114" t="s">
        <v>578</v>
      </c>
      <c r="M198" s="253" t="s">
        <v>576</v>
      </c>
    </row>
    <row r="199" spans="1:15" x14ac:dyDescent="0.3">
      <c r="A199" s="269"/>
    </row>
    <row r="200" spans="1:15" x14ac:dyDescent="0.3">
      <c r="A200" s="268" t="s">
        <v>349</v>
      </c>
      <c r="B200" s="80">
        <v>3</v>
      </c>
    </row>
    <row r="201" spans="1:15" ht="10.5" thickBot="1" x14ac:dyDescent="0.35">
      <c r="A201" s="269"/>
      <c r="C201" s="76" t="b">
        <f>IF(B200=3,FALSE,TRUE)</f>
        <v>0</v>
      </c>
      <c r="D201" s="74" t="s">
        <v>115</v>
      </c>
    </row>
    <row r="202" spans="1:15" ht="10.5" thickBot="1" x14ac:dyDescent="0.35">
      <c r="A202" s="269"/>
      <c r="C202" s="274" t="str">
        <f>IF(B200=1,"kilincsműködtetésű szükségkioldó (kilincs kell hozzá)","kihúzható zárbetétes szükségkioldó")</f>
        <v>kihúzható zárbetétes szükségkioldó</v>
      </c>
      <c r="D202" s="275"/>
      <c r="E202" s="275"/>
      <c r="F202" s="275"/>
      <c r="G202" s="275"/>
      <c r="H202" s="276"/>
    </row>
    <row r="203" spans="1:15" ht="10.5" thickBot="1" x14ac:dyDescent="0.35">
      <c r="A203" s="269"/>
      <c r="C203" s="273">
        <f>IF(B200=1,D205,D204)</f>
        <v>12500</v>
      </c>
      <c r="D203" s="78" t="s">
        <v>580</v>
      </c>
      <c r="M203" s="253" t="s">
        <v>576</v>
      </c>
    </row>
    <row r="204" spans="1:15" x14ac:dyDescent="0.3">
      <c r="A204" s="269"/>
      <c r="D204" s="255">
        <v>12500</v>
      </c>
      <c r="E204" s="53" t="s">
        <v>513</v>
      </c>
    </row>
    <row r="205" spans="1:15" x14ac:dyDescent="0.3">
      <c r="A205" s="269"/>
      <c r="D205" s="255">
        <v>13200</v>
      </c>
      <c r="E205" s="53" t="s">
        <v>514</v>
      </c>
    </row>
    <row r="206" spans="1:15" x14ac:dyDescent="0.3">
      <c r="A206" s="269"/>
    </row>
    <row r="207" spans="1:15" x14ac:dyDescent="0.3">
      <c r="A207" s="268" t="s">
        <v>520</v>
      </c>
      <c r="B207" s="80" t="b">
        <v>0</v>
      </c>
      <c r="O207" s="53"/>
    </row>
    <row r="208" spans="1:15" x14ac:dyDescent="0.3">
      <c r="A208" s="268"/>
      <c r="B208" s="80">
        <v>1</v>
      </c>
      <c r="C208" s="74" t="s">
        <v>498</v>
      </c>
      <c r="F208" s="112">
        <f>IF(B208=1,0,J208)</f>
        <v>0</v>
      </c>
      <c r="H208" s="542" t="s">
        <v>584</v>
      </c>
      <c r="I208" s="542"/>
      <c r="J208" s="255">
        <v>110700</v>
      </c>
      <c r="K208" s="79" t="s">
        <v>585</v>
      </c>
      <c r="M208" s="253" t="s">
        <v>576</v>
      </c>
      <c r="O208" s="53"/>
    </row>
    <row r="209" spans="1:15" x14ac:dyDescent="0.3">
      <c r="A209" s="268"/>
      <c r="B209" s="80">
        <v>1</v>
      </c>
      <c r="C209" s="74" t="s">
        <v>629</v>
      </c>
      <c r="F209" s="217" t="str">
        <f>VLOOKUP(B114,$A$288:$BE$355,33)</f>
        <v>5000mm-ig van csak</v>
      </c>
      <c r="G209" s="114" t="s">
        <v>586</v>
      </c>
      <c r="H209" s="79"/>
      <c r="M209" s="253" t="s">
        <v>576</v>
      </c>
      <c r="O209" s="53"/>
    </row>
    <row r="210" spans="1:15" ht="10.5" thickBot="1" x14ac:dyDescent="0.35">
      <c r="A210" s="268"/>
      <c r="B210" s="80">
        <v>3</v>
      </c>
      <c r="C210" s="74" t="s">
        <v>388</v>
      </c>
      <c r="F210" s="217" t="str">
        <f>VLOOKUP(B114,$A$288:$BE$355,34)</f>
        <v>5000mm-ig van csak</v>
      </c>
      <c r="G210" s="114" t="s">
        <v>587</v>
      </c>
      <c r="H210" s="78"/>
      <c r="M210" s="253" t="s">
        <v>576</v>
      </c>
      <c r="O210" s="53"/>
    </row>
    <row r="211" spans="1:15" ht="10.5" thickBot="1" x14ac:dyDescent="0.35">
      <c r="A211" s="268"/>
      <c r="B211" s="74"/>
      <c r="F211" s="273" t="str">
        <f>IF(Munka1!B52=2,"",IF(Munka1!B207=FALSE,"",IF(Munka1!C144&lt;&gt;3,"",IF(Munka1!C123=FALSE,Munka1!F209,IF(AND(Munka1!C125&lt;&gt;"Supramatic E",Munka1!C125&lt;&gt;"Supramatic P"),"",Munka1!F210)))))</f>
        <v/>
      </c>
      <c r="G211" s="53" t="str">
        <f>CONCATENATE("a választott ajtófelár",IF(F211=F209," a kézi "," a motoros "),"kapuhoz")</f>
        <v>a választott ajtófelár a motoros kapuhoz</v>
      </c>
      <c r="H211" s="78"/>
      <c r="M211" s="253" t="s">
        <v>576</v>
      </c>
      <c r="O211" s="53"/>
    </row>
    <row r="212" spans="1:15" x14ac:dyDescent="0.3">
      <c r="A212" s="268"/>
      <c r="B212" s="236"/>
      <c r="C212" s="236"/>
      <c r="D212" s="236"/>
      <c r="E212" s="236"/>
      <c r="F212" s="236"/>
      <c r="G212" s="236"/>
      <c r="H212" s="236"/>
      <c r="I212" s="236"/>
      <c r="J212" s="236"/>
      <c r="K212" s="236"/>
      <c r="L212" s="236"/>
      <c r="M212" s="236"/>
      <c r="N212" s="236"/>
      <c r="O212" s="53"/>
    </row>
    <row r="213" spans="1:15" x14ac:dyDescent="0.3">
      <c r="A213" s="268"/>
      <c r="C213" s="225" t="s">
        <v>486</v>
      </c>
      <c r="D213" s="203"/>
      <c r="E213" s="225"/>
      <c r="F213" s="254">
        <v>44915</v>
      </c>
      <c r="G213" s="226" t="s">
        <v>488</v>
      </c>
      <c r="H213" s="203"/>
      <c r="I213" s="203"/>
      <c r="J213" s="203"/>
      <c r="K213" s="203"/>
      <c r="L213" s="203"/>
      <c r="M213" s="253"/>
    </row>
    <row r="214" spans="1:15" x14ac:dyDescent="0.3">
      <c r="A214" s="268"/>
      <c r="C214" s="203"/>
      <c r="D214" s="203"/>
      <c r="E214" s="203"/>
      <c r="F214" s="203"/>
      <c r="G214" s="203"/>
      <c r="H214" s="203"/>
      <c r="I214" s="203"/>
      <c r="J214" s="203"/>
      <c r="K214" s="203"/>
      <c r="L214" s="203"/>
      <c r="M214" s="253"/>
    </row>
    <row r="215" spans="1:15" x14ac:dyDescent="0.3">
      <c r="A215" s="268"/>
      <c r="C215" s="203"/>
      <c r="D215" s="203"/>
      <c r="E215" s="203" t="s">
        <v>485</v>
      </c>
      <c r="F215" s="203"/>
      <c r="G215" s="227" t="str">
        <f ca="1">IF(TODAY()&lt;=F213,"tart","vége")</f>
        <v>vége</v>
      </c>
      <c r="H215" s="203"/>
      <c r="I215" s="203"/>
      <c r="J215" s="203"/>
      <c r="K215" s="203"/>
      <c r="L215" s="203"/>
      <c r="M215" s="253"/>
    </row>
    <row r="216" spans="1:15" x14ac:dyDescent="0.3">
      <c r="A216" s="268"/>
      <c r="C216" s="203"/>
      <c r="D216" s="203"/>
      <c r="E216" s="203" t="s">
        <v>484</v>
      </c>
      <c r="F216" s="203"/>
      <c r="G216" s="80">
        <v>1</v>
      </c>
      <c r="H216" s="203"/>
      <c r="I216" s="203"/>
      <c r="J216" s="203"/>
      <c r="K216" s="203"/>
      <c r="L216" s="203"/>
      <c r="M216" s="253"/>
    </row>
    <row r="217" spans="1:15" x14ac:dyDescent="0.3">
      <c r="A217" s="268"/>
      <c r="C217" s="203"/>
      <c r="D217" s="203"/>
      <c r="E217" s="203" t="s">
        <v>483</v>
      </c>
      <c r="F217" s="203"/>
      <c r="G217" s="218">
        <f ca="1">IF(TODAY()&lt;=F213,2,1)</f>
        <v>1</v>
      </c>
      <c r="H217" s="203"/>
      <c r="I217" s="203"/>
      <c r="J217" s="203"/>
      <c r="K217" s="203"/>
      <c r="L217" s="203"/>
      <c r="M217" s="253"/>
    </row>
    <row r="218" spans="1:15" x14ac:dyDescent="0.3">
      <c r="A218" s="268"/>
      <c r="C218" s="203"/>
      <c r="D218" s="203"/>
      <c r="E218" s="203"/>
      <c r="F218" s="228"/>
      <c r="G218" s="228" t="str">
        <f ca="1">IF(G217=1,"","2022.08.31-ig Akciós ")</f>
        <v/>
      </c>
      <c r="H218" s="203"/>
      <c r="I218" s="203"/>
      <c r="J218" s="203"/>
      <c r="K218" s="203"/>
      <c r="L218" s="203"/>
      <c r="M218" s="253"/>
    </row>
    <row r="219" spans="1:15" x14ac:dyDescent="0.3">
      <c r="A219" s="268"/>
      <c r="C219" s="203"/>
      <c r="D219" s="203"/>
      <c r="E219" s="203" t="s">
        <v>389</v>
      </c>
      <c r="F219" s="218">
        <f ca="1">G216*10+G217</f>
        <v>11</v>
      </c>
      <c r="G219" s="256">
        <f ca="1">VLOOKUP(F219,D222:G227,4)</f>
        <v>437000</v>
      </c>
      <c r="H219" s="203"/>
      <c r="I219" s="203"/>
      <c r="J219" s="203"/>
      <c r="K219" s="203"/>
      <c r="L219" s="203"/>
      <c r="M219" s="253" t="s">
        <v>576</v>
      </c>
    </row>
    <row r="220" spans="1:15" x14ac:dyDescent="0.3">
      <c r="A220" s="268"/>
      <c r="C220" s="203"/>
      <c r="D220" s="203"/>
      <c r="E220" s="203"/>
      <c r="F220" s="203"/>
      <c r="G220" s="112" t="str">
        <f ca="1">VLOOKUP(F219,D222:G227,2)</f>
        <v>10 mm-es</v>
      </c>
      <c r="H220" s="203"/>
      <c r="I220" s="203"/>
      <c r="J220" s="203"/>
      <c r="K220" s="203"/>
      <c r="L220" s="203"/>
      <c r="M220" s="253"/>
    </row>
    <row r="221" spans="1:15" x14ac:dyDescent="0.3">
      <c r="A221" s="268"/>
      <c r="C221" s="203" t="s">
        <v>588</v>
      </c>
      <c r="D221" s="218" t="s">
        <v>74</v>
      </c>
      <c r="E221" s="218" t="s">
        <v>481</v>
      </c>
      <c r="F221" s="218" t="s">
        <v>559</v>
      </c>
      <c r="G221" s="218"/>
      <c r="H221" s="203"/>
      <c r="I221" s="203"/>
      <c r="J221" s="203"/>
      <c r="K221" s="203"/>
      <c r="L221" s="203"/>
      <c r="M221" s="253"/>
    </row>
    <row r="222" spans="1:15" x14ac:dyDescent="0.3">
      <c r="A222" s="268"/>
      <c r="C222" s="218">
        <v>10</v>
      </c>
      <c r="D222" s="218">
        <v>11</v>
      </c>
      <c r="E222" s="218" t="s">
        <v>480</v>
      </c>
      <c r="F222" s="218" t="s">
        <v>482</v>
      </c>
      <c r="G222" s="279">
        <v>437000</v>
      </c>
      <c r="H222" s="203"/>
      <c r="I222" s="203"/>
      <c r="J222" s="203" t="s">
        <v>477</v>
      </c>
      <c r="K222" s="270">
        <v>20800</v>
      </c>
      <c r="L222" s="203"/>
      <c r="M222" s="253" t="s">
        <v>576</v>
      </c>
    </row>
    <row r="223" spans="1:15" x14ac:dyDescent="0.3">
      <c r="A223" s="268"/>
      <c r="C223" s="218">
        <v>48</v>
      </c>
      <c r="D223" s="218">
        <v>12</v>
      </c>
      <c r="E223" s="218" t="s">
        <v>480</v>
      </c>
      <c r="F223" s="218" t="s">
        <v>478</v>
      </c>
      <c r="G223" s="301">
        <f>319000/1.05</f>
        <v>303809.52380952379</v>
      </c>
      <c r="H223" s="203"/>
      <c r="I223" s="203"/>
      <c r="J223" s="203" t="s">
        <v>476</v>
      </c>
      <c r="K223" s="112">
        <f ca="1">G219+F208</f>
        <v>437000</v>
      </c>
      <c r="L223" s="203"/>
      <c r="M223" s="253" t="s">
        <v>576</v>
      </c>
    </row>
    <row r="224" spans="1:15" x14ac:dyDescent="0.3">
      <c r="A224" s="268"/>
      <c r="C224" s="218">
        <v>85</v>
      </c>
      <c r="D224" s="218">
        <v>21</v>
      </c>
      <c r="E224" s="218" t="s">
        <v>479</v>
      </c>
      <c r="F224" s="218" t="s">
        <v>482</v>
      </c>
      <c r="G224" s="279">
        <v>502300</v>
      </c>
      <c r="H224" s="203"/>
      <c r="I224" s="203"/>
      <c r="J224" s="203" t="s">
        <v>475</v>
      </c>
      <c r="K224" s="270">
        <v>13300</v>
      </c>
      <c r="L224" s="203"/>
      <c r="M224" s="253" t="s">
        <v>576</v>
      </c>
    </row>
    <row r="225" spans="1:15" x14ac:dyDescent="0.3">
      <c r="A225" s="268"/>
      <c r="C225" s="203"/>
      <c r="D225" s="218">
        <v>22</v>
      </c>
      <c r="E225" s="218" t="s">
        <v>479</v>
      </c>
      <c r="F225" s="218" t="s">
        <v>478</v>
      </c>
      <c r="G225" s="301">
        <f>351000/1.05</f>
        <v>334285.71428571426</v>
      </c>
      <c r="H225" s="203"/>
      <c r="I225" s="203"/>
      <c r="J225" s="203" t="s">
        <v>473</v>
      </c>
      <c r="K225" s="270">
        <v>27905</v>
      </c>
      <c r="L225" s="203"/>
      <c r="M225" s="253" t="s">
        <v>576</v>
      </c>
    </row>
    <row r="226" spans="1:15" x14ac:dyDescent="0.3">
      <c r="A226" s="268"/>
      <c r="C226" s="203"/>
      <c r="D226" s="218">
        <v>31</v>
      </c>
      <c r="E226" s="218" t="s">
        <v>487</v>
      </c>
      <c r="F226" s="218" t="s">
        <v>482</v>
      </c>
      <c r="G226" s="279">
        <v>359600</v>
      </c>
      <c r="H226" s="203"/>
      <c r="I226" s="203"/>
      <c r="J226" s="203" t="s">
        <v>474</v>
      </c>
      <c r="K226" s="270">
        <v>34952</v>
      </c>
      <c r="L226" s="203"/>
      <c r="M226" s="253" t="s">
        <v>576</v>
      </c>
    </row>
    <row r="227" spans="1:15" x14ac:dyDescent="0.3">
      <c r="A227" s="268"/>
      <c r="C227" s="203"/>
      <c r="D227" s="218">
        <v>32</v>
      </c>
      <c r="E227" s="218" t="s">
        <v>487</v>
      </c>
      <c r="F227" s="218" t="s">
        <v>478</v>
      </c>
      <c r="G227" s="301">
        <f>255000/1.05</f>
        <v>242857.14285714284</v>
      </c>
      <c r="H227" s="203"/>
      <c r="I227" s="203"/>
      <c r="J227" s="203" t="s">
        <v>248</v>
      </c>
      <c r="K227" s="112">
        <f>C248</f>
        <v>23809.523809523809</v>
      </c>
      <c r="L227" s="203"/>
      <c r="M227" s="253"/>
    </row>
    <row r="228" spans="1:15" ht="10.5" thickBot="1" x14ac:dyDescent="0.35">
      <c r="A228" s="268"/>
    </row>
    <row r="229" spans="1:15" ht="10.5" thickBot="1" x14ac:dyDescent="0.35">
      <c r="A229" s="268" t="s">
        <v>515</v>
      </c>
      <c r="B229" s="81" t="b">
        <v>0</v>
      </c>
      <c r="C229" s="271">
        <f>VLOOKUP(B245-1,A366:E392,3)</f>
        <v>6000</v>
      </c>
      <c r="D229" s="114" t="s">
        <v>519</v>
      </c>
      <c r="E229" s="78" t="s">
        <v>286</v>
      </c>
      <c r="M229" s="253" t="s">
        <v>576</v>
      </c>
      <c r="O229" s="53"/>
    </row>
    <row r="230" spans="1:15" x14ac:dyDescent="0.3">
      <c r="A230" s="268"/>
      <c r="B230" s="80">
        <v>1</v>
      </c>
      <c r="C230" s="74" t="s">
        <v>252</v>
      </c>
      <c r="D230" s="114"/>
      <c r="E230" s="78"/>
      <c r="O230" s="53"/>
    </row>
    <row r="231" spans="1:15" ht="10.5" thickBot="1" x14ac:dyDescent="0.35">
      <c r="A231" s="268"/>
      <c r="B231" s="236"/>
      <c r="C231" s="236"/>
      <c r="D231" s="114"/>
      <c r="E231" s="78"/>
      <c r="O231" s="53"/>
    </row>
    <row r="232" spans="1:15" ht="10.5" thickBot="1" x14ac:dyDescent="0.35">
      <c r="A232" s="268" t="s">
        <v>516</v>
      </c>
      <c r="B232" s="81" t="b">
        <v>0</v>
      </c>
      <c r="C232" s="273">
        <f>VLOOKUP(B114,$A$288:$BE$355,29)+I235</f>
        <v>91000</v>
      </c>
      <c r="D232" s="114" t="s">
        <v>237</v>
      </c>
      <c r="E232" s="78" t="s">
        <v>581</v>
      </c>
      <c r="M232" s="253" t="s">
        <v>576</v>
      </c>
      <c r="O232" s="53"/>
    </row>
    <row r="233" spans="1:15" x14ac:dyDescent="0.3">
      <c r="A233" s="268"/>
      <c r="B233" s="236"/>
      <c r="C233" s="236"/>
      <c r="D233" s="236"/>
      <c r="E233" s="78"/>
      <c r="O233" s="53"/>
    </row>
    <row r="234" spans="1:15" x14ac:dyDescent="0.3">
      <c r="A234" s="268"/>
      <c r="B234" s="236"/>
      <c r="C234" s="203" t="s">
        <v>555</v>
      </c>
      <c r="D234" s="203"/>
      <c r="E234" s="203" t="s">
        <v>433</v>
      </c>
      <c r="F234" s="558" t="s">
        <v>432</v>
      </c>
      <c r="G234" s="558"/>
      <c r="H234" s="203" t="s">
        <v>436</v>
      </c>
      <c r="I234" s="203"/>
      <c r="O234" s="53"/>
    </row>
    <row r="235" spans="1:15" x14ac:dyDescent="0.3">
      <c r="A235" s="268"/>
      <c r="B235" s="236"/>
      <c r="C235" s="203" t="s">
        <v>427</v>
      </c>
      <c r="D235" s="203"/>
      <c r="E235" s="255">
        <v>4000</v>
      </c>
      <c r="F235" s="545" t="b">
        <f>IF(B188=FALSE,IF(C123=FALSE,TRUE,FALSE),TRUE)</f>
        <v>0</v>
      </c>
      <c r="G235" s="545"/>
      <c r="H235" s="212" t="str">
        <f t="shared" ref="H235:H240" si="4">IF(F235=TRUE,E235,"")</f>
        <v/>
      </c>
      <c r="I235" s="562">
        <f>SUM(H235:H240)</f>
        <v>0</v>
      </c>
      <c r="M235" s="253" t="s">
        <v>576</v>
      </c>
      <c r="O235" s="53"/>
    </row>
    <row r="236" spans="1:15" x14ac:dyDescent="0.3">
      <c r="A236" s="268"/>
      <c r="B236" s="236"/>
      <c r="C236" s="203" t="s">
        <v>428</v>
      </c>
      <c r="D236" s="203"/>
      <c r="E236" s="255">
        <v>4000</v>
      </c>
      <c r="F236" s="545" t="b">
        <f>C201</f>
        <v>0</v>
      </c>
      <c r="G236" s="545"/>
      <c r="H236" s="212" t="str">
        <f t="shared" si="4"/>
        <v/>
      </c>
      <c r="I236" s="562"/>
      <c r="M236" s="253" t="s">
        <v>576</v>
      </c>
      <c r="O236" s="53"/>
    </row>
    <row r="237" spans="1:15" x14ac:dyDescent="0.3">
      <c r="A237" s="268"/>
      <c r="B237" s="236"/>
      <c r="C237" s="203" t="s">
        <v>429</v>
      </c>
      <c r="D237" s="203"/>
      <c r="E237" s="255">
        <v>4000</v>
      </c>
      <c r="F237" s="545" t="b">
        <f>B250</f>
        <v>0</v>
      </c>
      <c r="G237" s="545"/>
      <c r="H237" s="212" t="str">
        <f t="shared" si="4"/>
        <v/>
      </c>
      <c r="I237" s="562"/>
      <c r="M237" s="253" t="s">
        <v>576</v>
      </c>
      <c r="O237" s="53"/>
    </row>
    <row r="238" spans="1:15" x14ac:dyDescent="0.3">
      <c r="A238" s="268"/>
      <c r="B238" s="236"/>
      <c r="C238" s="203" t="s">
        <v>430</v>
      </c>
      <c r="D238" s="203"/>
      <c r="E238" s="255">
        <v>4000</v>
      </c>
      <c r="F238" s="545" t="b">
        <f>B248</f>
        <v>0</v>
      </c>
      <c r="G238" s="545"/>
      <c r="H238" s="212" t="str">
        <f t="shared" si="4"/>
        <v/>
      </c>
      <c r="I238" s="562"/>
      <c r="M238" s="253" t="s">
        <v>576</v>
      </c>
      <c r="O238" s="53"/>
    </row>
    <row r="239" spans="1:15" x14ac:dyDescent="0.3">
      <c r="A239" s="268"/>
      <c r="B239" s="236"/>
      <c r="C239" s="203" t="s">
        <v>431</v>
      </c>
      <c r="D239" s="203"/>
      <c r="E239" s="255">
        <v>13000</v>
      </c>
      <c r="F239" s="545" t="b">
        <f>B207</f>
        <v>0</v>
      </c>
      <c r="G239" s="545"/>
      <c r="H239" s="212" t="str">
        <f t="shared" si="4"/>
        <v/>
      </c>
      <c r="I239" s="562"/>
      <c r="M239" s="253" t="s">
        <v>576</v>
      </c>
      <c r="O239" s="53"/>
    </row>
    <row r="240" spans="1:15" x14ac:dyDescent="0.3">
      <c r="A240" s="268"/>
      <c r="B240" s="236"/>
      <c r="C240" s="203" t="s">
        <v>434</v>
      </c>
      <c r="D240" s="203"/>
      <c r="E240" s="255">
        <v>13000</v>
      </c>
      <c r="F240" s="545" t="b">
        <f>B254</f>
        <v>0</v>
      </c>
      <c r="G240" s="545"/>
      <c r="H240" s="212" t="str">
        <f t="shared" si="4"/>
        <v/>
      </c>
      <c r="I240" s="562"/>
      <c r="M240" s="253" t="s">
        <v>576</v>
      </c>
      <c r="O240" s="53"/>
    </row>
    <row r="241" spans="1:15" ht="10.5" thickBot="1" x14ac:dyDescent="0.35">
      <c r="A241" s="268"/>
      <c r="B241" s="236"/>
      <c r="C241" s="236"/>
      <c r="D241" s="236"/>
      <c r="E241" s="78"/>
      <c r="O241" s="53"/>
    </row>
    <row r="242" spans="1:15" ht="10.5" thickBot="1" x14ac:dyDescent="0.35">
      <c r="A242" s="268" t="s">
        <v>517</v>
      </c>
      <c r="B242" s="81" t="b">
        <v>0</v>
      </c>
      <c r="C242" s="277">
        <f>18000*1.3</f>
        <v>23400</v>
      </c>
      <c r="D242" s="114" t="s">
        <v>519</v>
      </c>
      <c r="E242" s="78" t="s">
        <v>140</v>
      </c>
      <c r="M242" s="253" t="s">
        <v>576</v>
      </c>
      <c r="O242" s="53"/>
    </row>
    <row r="243" spans="1:15" ht="10.5" thickBot="1" x14ac:dyDescent="0.35">
      <c r="A243" s="268"/>
      <c r="B243" s="236"/>
      <c r="C243" s="236"/>
      <c r="D243" s="78"/>
      <c r="E243" s="78"/>
      <c r="O243" s="53"/>
    </row>
    <row r="244" spans="1:15" ht="10.5" thickBot="1" x14ac:dyDescent="0.35">
      <c r="A244" s="268" t="s">
        <v>518</v>
      </c>
      <c r="B244" s="81" t="b">
        <v>0</v>
      </c>
      <c r="C244" s="271">
        <f>IF('Garázskapu árkalkulátor'!AA6&gt;0,"",VLOOKUP(B245-1,A366:E392,IF(C179=1,4,5)))</f>
        <v>6000</v>
      </c>
      <c r="D244" s="114" t="s">
        <v>519</v>
      </c>
      <c r="E244" s="78" t="s">
        <v>278</v>
      </c>
      <c r="M244" s="253" t="s">
        <v>576</v>
      </c>
      <c r="O244" s="53"/>
    </row>
    <row r="245" spans="1:15" ht="10.5" thickBot="1" x14ac:dyDescent="0.35">
      <c r="A245" s="269"/>
      <c r="B245" s="80">
        <v>2</v>
      </c>
      <c r="C245" s="278" t="str">
        <f>VLOOKUP(B245-1,A366:D392,2)</f>
        <v>5-10 km</v>
      </c>
      <c r="E245" s="78" t="s">
        <v>521</v>
      </c>
      <c r="O245" s="53"/>
    </row>
    <row r="246" spans="1:15" ht="10.5" thickBot="1" x14ac:dyDescent="0.35">
      <c r="A246" s="269"/>
      <c r="C246" s="274" t="str">
        <f>IF(AND(Munka1!B244=TRUE,'Garázskapu árkalkulátor'!AA6&gt;0),"+ Kiszállítás egyedi keretmegállapodás alapján",IF('Garázskapu árkalkulátor'!M23="","",CONCATENATE("Kiszállítás díja Székesfehérvártól számított ",Munka1!C245,"-re")))</f>
        <v/>
      </c>
      <c r="D246" s="275"/>
      <c r="E246" s="275"/>
      <c r="F246" s="275"/>
      <c r="G246" s="276"/>
      <c r="I246" s="176"/>
      <c r="O246" s="53"/>
    </row>
    <row r="247" spans="1:15" ht="10.5" thickBot="1" x14ac:dyDescent="0.35">
      <c r="A247" s="269"/>
      <c r="I247" s="176"/>
      <c r="O247" s="53"/>
    </row>
    <row r="248" spans="1:15" ht="10.5" thickBot="1" x14ac:dyDescent="0.35">
      <c r="A248" s="268" t="s">
        <v>248</v>
      </c>
      <c r="B248" s="81" t="b">
        <v>0</v>
      </c>
      <c r="C248" s="272">
        <f>25000/1.05</f>
        <v>23809.523809523809</v>
      </c>
      <c r="D248" s="114" t="s">
        <v>519</v>
      </c>
      <c r="E248" s="78" t="s">
        <v>582</v>
      </c>
      <c r="M248" s="253" t="s">
        <v>576</v>
      </c>
    </row>
    <row r="249" spans="1:15" ht="10.5" thickBot="1" x14ac:dyDescent="0.35">
      <c r="A249" s="268"/>
    </row>
    <row r="250" spans="1:15" ht="10.5" thickBot="1" x14ac:dyDescent="0.35">
      <c r="A250" s="268" t="s">
        <v>249</v>
      </c>
      <c r="B250" s="81" t="b">
        <v>0</v>
      </c>
      <c r="C250" s="272">
        <v>24300</v>
      </c>
      <c r="D250" s="114" t="s">
        <v>519</v>
      </c>
      <c r="E250" s="78" t="s">
        <v>583</v>
      </c>
      <c r="J250" s="54"/>
      <c r="M250" s="253" t="s">
        <v>576</v>
      </c>
    </row>
    <row r="251" spans="1:15" ht="10.5" thickBot="1" x14ac:dyDescent="0.35">
      <c r="A251" s="268"/>
      <c r="J251" s="54"/>
    </row>
    <row r="252" spans="1:15" ht="10.5" thickBot="1" x14ac:dyDescent="0.35">
      <c r="A252" s="268" t="s">
        <v>321</v>
      </c>
      <c r="B252" s="130" t="b">
        <v>0</v>
      </c>
      <c r="C252" s="277">
        <v>20000</v>
      </c>
      <c r="D252" s="78" t="s">
        <v>322</v>
      </c>
      <c r="E252" s="78"/>
      <c r="J252" s="54"/>
      <c r="M252" s="253" t="s">
        <v>576</v>
      </c>
    </row>
    <row r="253" spans="1:15" ht="10.5" thickBot="1" x14ac:dyDescent="0.35">
      <c r="A253" s="268"/>
      <c r="J253" s="54"/>
    </row>
    <row r="254" spans="1:15" ht="10.5" thickBot="1" x14ac:dyDescent="0.35">
      <c r="A254" s="268" t="s">
        <v>435</v>
      </c>
      <c r="B254" s="130" t="b">
        <v>0</v>
      </c>
      <c r="C254" s="273" t="str">
        <f>IF(B254=TRUE,VLOOKUP(B114,$A$288:$BE$355,7),"")</f>
        <v/>
      </c>
      <c r="D254" s="78" t="s">
        <v>590</v>
      </c>
      <c r="J254" s="54"/>
      <c r="M254" s="253" t="s">
        <v>576</v>
      </c>
    </row>
    <row r="255" spans="1:15" x14ac:dyDescent="0.3">
      <c r="A255" s="268"/>
      <c r="C255" s="112">
        <f>IF(C115&lt;=3000,E256,E257)</f>
        <v>77100</v>
      </c>
      <c r="D255" s="78" t="s">
        <v>437</v>
      </c>
      <c r="J255" s="54"/>
      <c r="M255" s="253" t="s">
        <v>576</v>
      </c>
    </row>
    <row r="256" spans="1:15" x14ac:dyDescent="0.3">
      <c r="A256" s="268"/>
      <c r="D256" s="237" t="s">
        <v>524</v>
      </c>
      <c r="E256" s="255">
        <v>65600</v>
      </c>
      <c r="F256" s="114" t="s">
        <v>589</v>
      </c>
      <c r="M256" s="253" t="s">
        <v>576</v>
      </c>
      <c r="O256" s="53"/>
    </row>
    <row r="257" spans="1:15" x14ac:dyDescent="0.3">
      <c r="A257" s="268"/>
      <c r="D257" s="237" t="s">
        <v>525</v>
      </c>
      <c r="E257" s="255">
        <v>77100</v>
      </c>
      <c r="F257" s="114" t="s">
        <v>589</v>
      </c>
      <c r="M257" s="253" t="s">
        <v>576</v>
      </c>
      <c r="O257" s="53"/>
    </row>
    <row r="258" spans="1:15" x14ac:dyDescent="0.3">
      <c r="A258" s="268"/>
      <c r="D258" s="53" t="s">
        <v>654</v>
      </c>
      <c r="G258" s="53">
        <v>30</v>
      </c>
      <c r="H258" s="53" t="s">
        <v>51</v>
      </c>
      <c r="O258" s="53"/>
    </row>
    <row r="259" spans="1:15" x14ac:dyDescent="0.3">
      <c r="A259" s="268"/>
      <c r="O259" s="53"/>
    </row>
    <row r="260" spans="1:15" x14ac:dyDescent="0.3">
      <c r="A260" s="268" t="s">
        <v>526</v>
      </c>
      <c r="C260" s="238">
        <f>1+IF(B232=TRUE,1,0)+IF(C123=TRUE,1,0)</f>
        <v>2</v>
      </c>
      <c r="D260" s="239" t="s">
        <v>365</v>
      </c>
      <c r="E260" s="239"/>
      <c r="F260" s="239"/>
      <c r="O260" s="53"/>
    </row>
    <row r="261" spans="1:15" x14ac:dyDescent="0.3">
      <c r="A261" s="269"/>
      <c r="C261" s="117" t="str">
        <f>CONCATENATE("kapu",IF(C123=TRUE,", motor",""),IF(B207=TRUE,", átjáróajtó",""),IF(B183=TRUE,", bevilágító ablak",""))</f>
        <v>kapu, motor</v>
      </c>
      <c r="D261" s="176" t="s">
        <v>529</v>
      </c>
      <c r="O261" s="53"/>
    </row>
    <row r="262" spans="1:15" x14ac:dyDescent="0.3">
      <c r="A262" s="269"/>
      <c r="O262" s="53"/>
    </row>
    <row r="263" spans="1:15" x14ac:dyDescent="0.3">
      <c r="A263" s="269"/>
      <c r="C263" s="203"/>
      <c r="D263" s="203"/>
      <c r="E263" s="203"/>
      <c r="F263" s="203"/>
      <c r="G263" s="203"/>
      <c r="H263" s="534" t="s">
        <v>426</v>
      </c>
      <c r="I263" s="531"/>
      <c r="J263" s="531"/>
      <c r="K263" s="535"/>
      <c r="L263" s="544" t="s">
        <v>557</v>
      </c>
      <c r="M263" s="544"/>
      <c r="N263" s="544"/>
      <c r="O263" s="544"/>
    </row>
    <row r="264" spans="1:15" x14ac:dyDescent="0.3">
      <c r="A264" s="269"/>
      <c r="C264" s="203"/>
      <c r="D264" s="203"/>
      <c r="E264" s="203"/>
      <c r="F264" s="203"/>
      <c r="G264" s="203"/>
      <c r="H264" s="536"/>
      <c r="I264" s="537"/>
      <c r="J264" s="537"/>
      <c r="K264" s="538"/>
      <c r="L264" s="532" t="s">
        <v>449</v>
      </c>
      <c r="M264" s="533"/>
      <c r="N264" s="532" t="s">
        <v>558</v>
      </c>
      <c r="O264" s="533"/>
    </row>
    <row r="265" spans="1:15" x14ac:dyDescent="0.3">
      <c r="A265" s="269"/>
      <c r="C265" s="203"/>
      <c r="D265" s="225" t="s">
        <v>410</v>
      </c>
      <c r="E265" s="203"/>
      <c r="F265" s="203"/>
      <c r="G265" s="203"/>
      <c r="H265" s="544" t="s">
        <v>418</v>
      </c>
      <c r="I265" s="544"/>
      <c r="J265" s="209" t="s">
        <v>419</v>
      </c>
      <c r="K265" s="209" t="s">
        <v>420</v>
      </c>
      <c r="L265" s="545">
        <f>IF('Garázskapu árkalkulátor'!AA6=1,"1",IF('Garázskapu árkalkulátor'!AA6=2,2,0))</f>
        <v>0</v>
      </c>
      <c r="M265" s="545"/>
      <c r="N265" s="545">
        <f>1+IF(OR(B52=2,C123=TRUE),1,0)+IF(B232=TRUE,1,0)</f>
        <v>2</v>
      </c>
      <c r="O265" s="545"/>
    </row>
    <row r="266" spans="1:15" x14ac:dyDescent="0.3">
      <c r="A266" s="269"/>
      <c r="C266" s="203"/>
      <c r="D266" s="205"/>
      <c r="E266" s="205"/>
      <c r="F266" s="205"/>
      <c r="G266" s="205"/>
      <c r="H266" s="544" t="s">
        <v>416</v>
      </c>
      <c r="I266" s="544"/>
      <c r="J266" s="209" t="s">
        <v>417</v>
      </c>
      <c r="K266" s="209" t="s">
        <v>122</v>
      </c>
      <c r="L266" s="545" t="str">
        <f>IF(L265=1,"viszonteladói",IF(L265=2,"V.I.P.","Lakossági"))</f>
        <v>Lakossági</v>
      </c>
      <c r="M266" s="545"/>
      <c r="N266" s="544" t="s">
        <v>425</v>
      </c>
      <c r="O266" s="544"/>
    </row>
    <row r="267" spans="1:15" x14ac:dyDescent="0.3">
      <c r="A267" s="269"/>
      <c r="C267" s="543">
        <v>1</v>
      </c>
      <c r="D267" s="556" t="s">
        <v>412</v>
      </c>
      <c r="E267" s="556"/>
      <c r="F267" s="556"/>
      <c r="G267" s="557"/>
      <c r="H267" s="560">
        <v>0.15</v>
      </c>
      <c r="I267" s="560"/>
      <c r="J267" s="249">
        <v>0.2</v>
      </c>
      <c r="K267" s="249">
        <v>0.2</v>
      </c>
      <c r="L267" s="546">
        <f>IF($B$52=1,IF(L$265=0,H267,IF(L$265=2,K267,J267)),IF(L$265=0,H268,IF(L$265=1,J268,K268)))</f>
        <v>0</v>
      </c>
      <c r="M267" s="546"/>
      <c r="N267" s="546" t="str">
        <f>IF(B52=2,IF(L265=0,"AKCIÓS ÁR",IF(D238=1,L267,IF(D238=2,L269,L271))),IF(D238=1,L267,IF(D238=2,L269,L271)))</f>
        <v>AKCIÓS ÁR</v>
      </c>
      <c r="O267" s="546"/>
    </row>
    <row r="268" spans="1:15" ht="12.5" customHeight="1" x14ac:dyDescent="0.3">
      <c r="A268" s="269"/>
      <c r="B268" s="239"/>
      <c r="C268" s="543"/>
      <c r="D268" s="556" t="s">
        <v>423</v>
      </c>
      <c r="E268" s="556"/>
      <c r="F268" s="556"/>
      <c r="G268" s="557"/>
      <c r="H268" s="560">
        <v>0</v>
      </c>
      <c r="I268" s="560"/>
      <c r="J268" s="249">
        <v>0.1</v>
      </c>
      <c r="K268" s="249">
        <v>0.15</v>
      </c>
      <c r="L268" s="546"/>
      <c r="M268" s="546"/>
      <c r="N268" s="546"/>
      <c r="O268" s="546"/>
    </row>
    <row r="269" spans="1:15" ht="12.5" customHeight="1" x14ac:dyDescent="0.3">
      <c r="A269" s="269"/>
      <c r="B269" s="239"/>
      <c r="C269" s="543">
        <v>2</v>
      </c>
      <c r="D269" s="556" t="s">
        <v>411</v>
      </c>
      <c r="E269" s="556"/>
      <c r="F269" s="556"/>
      <c r="G269" s="557"/>
      <c r="H269" s="560">
        <v>0.15</v>
      </c>
      <c r="I269" s="560"/>
      <c r="J269" s="249">
        <v>0.2</v>
      </c>
      <c r="K269" s="249">
        <v>0.2</v>
      </c>
      <c r="L269" s="546">
        <f>IF($B$52=1,IF(L$265=0,H269,IF(L$265=2,K269,J269)),IF(L$265=0,H270,IF(L$265=1,J270,K270)))</f>
        <v>0</v>
      </c>
      <c r="M269" s="546"/>
      <c r="N269" s="546"/>
      <c r="O269" s="546"/>
    </row>
    <row r="270" spans="1:15" x14ac:dyDescent="0.3">
      <c r="A270" s="269"/>
      <c r="B270" s="239"/>
      <c r="C270" s="543"/>
      <c r="D270" s="556" t="s">
        <v>422</v>
      </c>
      <c r="E270" s="556"/>
      <c r="F270" s="556"/>
      <c r="G270" s="557"/>
      <c r="H270" s="560">
        <v>0</v>
      </c>
      <c r="I270" s="560"/>
      <c r="J270" s="249">
        <v>0.1</v>
      </c>
      <c r="K270" s="249">
        <v>0.15</v>
      </c>
      <c r="L270" s="546"/>
      <c r="M270" s="546"/>
      <c r="N270" s="546"/>
      <c r="O270" s="546"/>
    </row>
    <row r="271" spans="1:15" x14ac:dyDescent="0.3">
      <c r="A271" s="269"/>
      <c r="B271" s="239"/>
      <c r="C271" s="543">
        <v>3</v>
      </c>
      <c r="D271" s="556" t="s">
        <v>424</v>
      </c>
      <c r="E271" s="556"/>
      <c r="F271" s="556"/>
      <c r="G271" s="557"/>
      <c r="H271" s="560">
        <v>0.2</v>
      </c>
      <c r="I271" s="560"/>
      <c r="J271" s="249">
        <v>0.2</v>
      </c>
      <c r="K271" s="249">
        <v>0.2</v>
      </c>
      <c r="L271" s="546">
        <f>IF($B$52=1,IF(L$265=0,H271,IF(L$265=2,K271,J271)),IF(L$265=0,H272,IF(L$265=2,K272,J272)))</f>
        <v>0</v>
      </c>
      <c r="M271" s="546"/>
      <c r="N271" s="546"/>
      <c r="O271" s="546"/>
    </row>
    <row r="272" spans="1:15" x14ac:dyDescent="0.3">
      <c r="A272" s="269"/>
      <c r="B272" s="239"/>
      <c r="C272" s="543"/>
      <c r="D272" s="556" t="s">
        <v>421</v>
      </c>
      <c r="E272" s="556"/>
      <c r="F272" s="556"/>
      <c r="G272" s="557"/>
      <c r="H272" s="560">
        <v>0</v>
      </c>
      <c r="I272" s="560"/>
      <c r="J272" s="249">
        <v>0.12</v>
      </c>
      <c r="K272" s="249">
        <v>0.15</v>
      </c>
      <c r="L272" s="546"/>
      <c r="M272" s="546"/>
      <c r="N272" s="546"/>
      <c r="O272" s="546"/>
    </row>
    <row r="273" spans="1:95" x14ac:dyDescent="0.3">
      <c r="A273" s="269"/>
      <c r="B273" s="239"/>
      <c r="C273" s="203"/>
      <c r="D273" s="559" t="s">
        <v>413</v>
      </c>
      <c r="E273" s="556"/>
      <c r="F273" s="556"/>
      <c r="G273" s="557"/>
      <c r="H273" s="560">
        <v>0.15</v>
      </c>
      <c r="I273" s="560"/>
      <c r="J273" s="249">
        <v>0.15</v>
      </c>
      <c r="K273" s="249">
        <v>0.15</v>
      </c>
      <c r="L273" s="561">
        <f>IF(L$265=0,H273,IF(L$265=2,K273,J273))</f>
        <v>0.15</v>
      </c>
      <c r="M273" s="561"/>
      <c r="N273" s="561"/>
      <c r="O273" s="561"/>
    </row>
    <row r="274" spans="1:95" x14ac:dyDescent="0.3">
      <c r="A274" s="269"/>
      <c r="B274" s="239"/>
      <c r="C274" s="203"/>
      <c r="D274" s="559" t="s">
        <v>414</v>
      </c>
      <c r="E274" s="556"/>
      <c r="F274" s="556"/>
      <c r="G274" s="557"/>
      <c r="H274" s="560">
        <v>0</v>
      </c>
      <c r="I274" s="560"/>
      <c r="J274" s="249">
        <v>0.15</v>
      </c>
      <c r="K274" s="249">
        <v>0.2</v>
      </c>
      <c r="L274" s="561">
        <f>IF(L$265=0,H274,IF(L$265=2,K274,J274))</f>
        <v>0</v>
      </c>
      <c r="M274" s="561"/>
      <c r="N274" s="561"/>
      <c r="O274" s="561"/>
    </row>
    <row r="275" spans="1:95" x14ac:dyDescent="0.3">
      <c r="A275" s="269"/>
      <c r="B275" s="239"/>
      <c r="C275" s="203"/>
      <c r="D275" s="559" t="s">
        <v>415</v>
      </c>
      <c r="E275" s="556"/>
      <c r="F275" s="556"/>
      <c r="G275" s="557"/>
      <c r="H275" s="560">
        <v>0</v>
      </c>
      <c r="I275" s="560"/>
      <c r="J275" s="249">
        <v>0</v>
      </c>
      <c r="K275" s="249">
        <v>0</v>
      </c>
      <c r="L275" s="561">
        <f>IF(L$265=0,H275,IF(L$265=2,K275,J275))</f>
        <v>0</v>
      </c>
      <c r="M275" s="561"/>
      <c r="N275" s="561"/>
      <c r="O275" s="561"/>
    </row>
    <row r="276" spans="1:95" x14ac:dyDescent="0.3">
      <c r="A276" s="269"/>
      <c r="B276" s="239"/>
      <c r="C276" s="203"/>
      <c r="D276" s="203" t="s">
        <v>556</v>
      </c>
      <c r="E276" s="203"/>
      <c r="F276" s="203"/>
      <c r="G276" s="203"/>
      <c r="H276" s="531" t="s">
        <v>527</v>
      </c>
      <c r="I276" s="531"/>
      <c r="J276" s="250" t="s">
        <v>328</v>
      </c>
      <c r="K276" s="251" t="s">
        <v>329</v>
      </c>
      <c r="O276" s="53"/>
    </row>
    <row r="277" spans="1:95" x14ac:dyDescent="0.3">
      <c r="A277" s="269"/>
      <c r="B277" s="239"/>
      <c r="C277" s="239"/>
      <c r="D277" s="239"/>
      <c r="E277" s="239"/>
      <c r="F277" s="239"/>
      <c r="G277" s="239"/>
      <c r="O277" s="53"/>
    </row>
    <row r="278" spans="1:95" x14ac:dyDescent="0.3">
      <c r="O278" s="53"/>
      <c r="R278" s="219"/>
      <c r="S278" s="82"/>
      <c r="BF278" s="335"/>
      <c r="BG278" s="335"/>
      <c r="BH278" s="335"/>
      <c r="BY278" s="335"/>
      <c r="BZ278" s="335"/>
      <c r="CA278" s="335"/>
    </row>
    <row r="279" spans="1:95" x14ac:dyDescent="0.3">
      <c r="O279" s="53"/>
      <c r="R279" s="219"/>
      <c r="S279" s="82"/>
      <c r="BF279" s="335"/>
      <c r="BG279" s="254">
        <v>45350</v>
      </c>
      <c r="BH279" s="336" t="s">
        <v>488</v>
      </c>
      <c r="BY279" s="335"/>
      <c r="BZ279" s="231">
        <f>BG279+1</f>
        <v>45351</v>
      </c>
      <c r="CA279" s="336" t="s">
        <v>500</v>
      </c>
    </row>
    <row r="280" spans="1:95" x14ac:dyDescent="0.3">
      <c r="O280" s="53"/>
      <c r="R280" s="219"/>
      <c r="S280" s="82"/>
      <c r="AN280" s="521" t="s">
        <v>625</v>
      </c>
      <c r="AO280" s="521"/>
      <c r="AP280" s="521"/>
      <c r="AQ280" s="521"/>
      <c r="AR280" s="521"/>
      <c r="AS280" s="521"/>
      <c r="AT280" s="521"/>
      <c r="AU280" s="521"/>
      <c r="AV280" s="521"/>
      <c r="AW280" s="521"/>
      <c r="AX280" s="521"/>
      <c r="AY280" s="521"/>
      <c r="AZ280" s="521"/>
      <c r="BA280" s="521"/>
      <c r="BB280" s="521"/>
      <c r="BC280" s="521"/>
      <c r="BD280" s="521"/>
      <c r="BE280" s="521"/>
      <c r="BF280" s="335"/>
      <c r="BG280" s="335"/>
      <c r="BH280" s="335" t="s">
        <v>499</v>
      </c>
      <c r="BY280" s="335"/>
      <c r="BZ280" s="335"/>
      <c r="CA280" s="335" t="s">
        <v>501</v>
      </c>
    </row>
    <row r="281" spans="1:95" x14ac:dyDescent="0.3">
      <c r="O281" s="53"/>
      <c r="R281" s="219"/>
      <c r="S281" s="82"/>
      <c r="BG281" s="253" t="s">
        <v>576</v>
      </c>
      <c r="BH281" s="253" t="s">
        <v>576</v>
      </c>
      <c r="BI281" s="253" t="s">
        <v>576</v>
      </c>
      <c r="BJ281" s="253" t="s">
        <v>576</v>
      </c>
      <c r="BK281" s="253" t="s">
        <v>576</v>
      </c>
      <c r="BL281" s="253" t="s">
        <v>576</v>
      </c>
      <c r="BM281" s="253" t="s">
        <v>576</v>
      </c>
      <c r="BN281" s="253" t="s">
        <v>576</v>
      </c>
      <c r="BO281" s="253" t="s">
        <v>576</v>
      </c>
      <c r="BP281" s="253" t="s">
        <v>576</v>
      </c>
      <c r="BQ281" s="253" t="s">
        <v>576</v>
      </c>
      <c r="BR281" s="253" t="s">
        <v>576</v>
      </c>
      <c r="BS281" s="253" t="s">
        <v>576</v>
      </c>
      <c r="BT281" s="253" t="s">
        <v>576</v>
      </c>
      <c r="BU281" s="253" t="s">
        <v>576</v>
      </c>
      <c r="BV281" s="253" t="s">
        <v>576</v>
      </c>
      <c r="BW281" s="253" t="s">
        <v>576</v>
      </c>
      <c r="BX281" s="253" t="s">
        <v>576</v>
      </c>
      <c r="BZ281" s="253" t="s">
        <v>576</v>
      </c>
      <c r="CA281" s="253" t="s">
        <v>576</v>
      </c>
      <c r="CB281" s="253" t="s">
        <v>576</v>
      </c>
      <c r="CC281" s="253" t="s">
        <v>576</v>
      </c>
      <c r="CD281" s="253" t="s">
        <v>576</v>
      </c>
      <c r="CE281" s="253" t="s">
        <v>576</v>
      </c>
      <c r="CF281" s="253" t="s">
        <v>576</v>
      </c>
      <c r="CG281" s="253" t="s">
        <v>576</v>
      </c>
      <c r="CH281" s="253" t="s">
        <v>576</v>
      </c>
      <c r="CI281" s="253" t="s">
        <v>576</v>
      </c>
      <c r="CJ281" s="253" t="s">
        <v>576</v>
      </c>
      <c r="CK281" s="253" t="s">
        <v>576</v>
      </c>
      <c r="CL281" s="253" t="s">
        <v>576</v>
      </c>
      <c r="CM281" s="253" t="s">
        <v>576</v>
      </c>
      <c r="CN281" s="253" t="s">
        <v>576</v>
      </c>
      <c r="CO281" s="253" t="s">
        <v>576</v>
      </c>
      <c r="CP281" s="253" t="s">
        <v>576</v>
      </c>
      <c r="CQ281" s="253" t="s">
        <v>576</v>
      </c>
    </row>
    <row r="282" spans="1:95" ht="12.75" customHeight="1" x14ac:dyDescent="0.3">
      <c r="O282" s="53"/>
      <c r="R282" s="82"/>
      <c r="S282" s="82"/>
      <c r="AH282" s="53" t="str">
        <f>AH287</f>
        <v>átjáró ajtós kapu felár motoros esetén: ajtófelár - kézi belső zár  + ajtóérzékelő + kapulapi elem + fotocella</v>
      </c>
      <c r="AN282" s="53"/>
      <c r="BG282" s="547">
        <v>1</v>
      </c>
      <c r="BI282" s="547">
        <v>2</v>
      </c>
      <c r="BK282" s="547">
        <v>4</v>
      </c>
      <c r="BM282" s="547">
        <v>5</v>
      </c>
      <c r="BO282" s="547">
        <v>7</v>
      </c>
      <c r="BQ282" s="547">
        <v>8</v>
      </c>
      <c r="BS282" s="547">
        <v>3</v>
      </c>
      <c r="BU282" s="547">
        <v>6</v>
      </c>
      <c r="BW282" s="547">
        <v>9</v>
      </c>
      <c r="BZ282" s="547">
        <v>1</v>
      </c>
      <c r="CB282" s="547">
        <v>2</v>
      </c>
      <c r="CD282" s="547">
        <v>4</v>
      </c>
      <c r="CF282" s="547">
        <v>5</v>
      </c>
      <c r="CH282" s="547">
        <v>7</v>
      </c>
      <c r="CJ282" s="547">
        <v>8</v>
      </c>
      <c r="CL282" s="547">
        <v>3</v>
      </c>
      <c r="CN282" s="547">
        <v>6</v>
      </c>
      <c r="CP282" s="547">
        <v>9</v>
      </c>
    </row>
    <row r="283" spans="1:95" ht="10.15" customHeight="1" x14ac:dyDescent="0.3">
      <c r="G283" s="253" t="s">
        <v>576</v>
      </c>
      <c r="H283" s="253" t="s">
        <v>576</v>
      </c>
      <c r="I283" s="253" t="s">
        <v>576</v>
      </c>
      <c r="J283" s="253" t="s">
        <v>576</v>
      </c>
      <c r="K283" s="253" t="s">
        <v>576</v>
      </c>
      <c r="L283" s="253" t="s">
        <v>576</v>
      </c>
      <c r="M283" s="253" t="s">
        <v>576</v>
      </c>
      <c r="N283" s="253" t="s">
        <v>576</v>
      </c>
      <c r="O283" s="253" t="s">
        <v>576</v>
      </c>
      <c r="P283" s="253" t="s">
        <v>576</v>
      </c>
      <c r="Q283" s="253" t="s">
        <v>576</v>
      </c>
      <c r="R283" s="253" t="s">
        <v>576</v>
      </c>
      <c r="W283" s="253" t="s">
        <v>576</v>
      </c>
      <c r="AC283" s="253" t="s">
        <v>576</v>
      </c>
      <c r="AF283" s="253" t="s">
        <v>576</v>
      </c>
      <c r="AG283" s="253" t="s">
        <v>576</v>
      </c>
      <c r="AH283" s="253" t="s">
        <v>576</v>
      </c>
      <c r="AI283" s="253" t="s">
        <v>576</v>
      </c>
      <c r="AL283" s="253" t="s">
        <v>576</v>
      </c>
      <c r="AM283" s="253" t="s">
        <v>576</v>
      </c>
      <c r="AN283" s="253" t="s">
        <v>576</v>
      </c>
      <c r="AO283" s="253" t="s">
        <v>576</v>
      </c>
      <c r="AP283" s="253" t="s">
        <v>576</v>
      </c>
      <c r="AQ283" s="253" t="s">
        <v>576</v>
      </c>
      <c r="AR283" s="253" t="s">
        <v>576</v>
      </c>
      <c r="AS283" s="253" t="s">
        <v>576</v>
      </c>
      <c r="AT283" s="253" t="s">
        <v>576</v>
      </c>
      <c r="AU283" s="253" t="s">
        <v>576</v>
      </c>
      <c r="AV283" s="253" t="s">
        <v>576</v>
      </c>
      <c r="AW283" s="253" t="s">
        <v>576</v>
      </c>
      <c r="AX283" s="253" t="s">
        <v>576</v>
      </c>
      <c r="AY283" s="253" t="s">
        <v>576</v>
      </c>
      <c r="AZ283" s="253" t="s">
        <v>576</v>
      </c>
      <c r="BA283" s="253" t="s">
        <v>576</v>
      </c>
      <c r="BB283" s="253" t="s">
        <v>576</v>
      </c>
      <c r="BC283" s="253" t="s">
        <v>576</v>
      </c>
      <c r="BD283" s="253" t="s">
        <v>576</v>
      </c>
      <c r="BE283" s="253" t="s">
        <v>576</v>
      </c>
      <c r="BG283" s="547"/>
      <c r="BI283" s="547"/>
      <c r="BK283" s="547"/>
      <c r="BM283" s="547"/>
      <c r="BO283" s="547"/>
      <c r="BQ283" s="547"/>
      <c r="BS283" s="547"/>
      <c r="BU283" s="547"/>
      <c r="BW283" s="547"/>
      <c r="BZ283" s="547"/>
      <c r="CB283" s="547"/>
      <c r="CD283" s="547"/>
      <c r="CF283" s="547"/>
      <c r="CH283" s="547"/>
      <c r="CJ283" s="547"/>
      <c r="CL283" s="547"/>
      <c r="CN283" s="547"/>
      <c r="CP283" s="547"/>
    </row>
    <row r="284" spans="1:95" x14ac:dyDescent="0.3">
      <c r="A284" s="57">
        <v>1</v>
      </c>
      <c r="B284" s="57">
        <v>2</v>
      </c>
      <c r="C284" s="192">
        <v>3</v>
      </c>
      <c r="D284" s="192">
        <v>4</v>
      </c>
      <c r="E284" s="192">
        <v>5</v>
      </c>
      <c r="F284" s="192">
        <v>6</v>
      </c>
      <c r="G284" s="203">
        <v>7</v>
      </c>
      <c r="H284" s="57">
        <v>8</v>
      </c>
      <c r="I284" s="57">
        <v>9</v>
      </c>
      <c r="J284" s="57">
        <v>10</v>
      </c>
      <c r="K284" s="57">
        <v>11</v>
      </c>
      <c r="L284" s="57">
        <v>12</v>
      </c>
      <c r="M284" s="57">
        <v>13</v>
      </c>
      <c r="N284" s="57">
        <v>14</v>
      </c>
      <c r="O284" s="57">
        <v>15</v>
      </c>
      <c r="P284" s="57">
        <v>16</v>
      </c>
      <c r="Q284" s="57">
        <v>17</v>
      </c>
      <c r="R284" s="57">
        <v>18</v>
      </c>
      <c r="S284" s="57">
        <v>19</v>
      </c>
      <c r="T284" s="57">
        <v>20</v>
      </c>
      <c r="U284" s="57">
        <v>21</v>
      </c>
      <c r="V284" s="57">
        <v>22</v>
      </c>
      <c r="W284" s="57">
        <v>23</v>
      </c>
      <c r="X284" s="57">
        <v>24</v>
      </c>
      <c r="Y284" s="57">
        <v>25</v>
      </c>
      <c r="Z284" s="57">
        <v>26</v>
      </c>
      <c r="AA284" s="57">
        <v>27</v>
      </c>
      <c r="AB284" s="57">
        <v>28</v>
      </c>
      <c r="AC284" s="57">
        <v>29</v>
      </c>
      <c r="AD284" s="57">
        <v>30</v>
      </c>
      <c r="AE284" s="57">
        <v>31</v>
      </c>
      <c r="AF284" s="57">
        <v>32</v>
      </c>
      <c r="AG284" s="57">
        <v>33</v>
      </c>
      <c r="AH284" s="57">
        <v>34</v>
      </c>
      <c r="AI284" s="57">
        <v>35</v>
      </c>
      <c r="AJ284" s="57">
        <v>36</v>
      </c>
      <c r="AK284" s="57">
        <v>37</v>
      </c>
      <c r="AL284" s="57">
        <v>38</v>
      </c>
      <c r="AM284" s="57">
        <v>39</v>
      </c>
      <c r="AN284" s="57">
        <v>40</v>
      </c>
      <c r="AO284" s="57">
        <v>41</v>
      </c>
      <c r="AP284" s="57">
        <v>42</v>
      </c>
      <c r="AQ284" s="57">
        <v>43</v>
      </c>
      <c r="AR284" s="57">
        <v>44</v>
      </c>
      <c r="AS284" s="57">
        <v>45</v>
      </c>
      <c r="AT284" s="57">
        <v>46</v>
      </c>
      <c r="AU284" s="57">
        <v>47</v>
      </c>
      <c r="AV284" s="57">
        <v>48</v>
      </c>
      <c r="AW284" s="57">
        <v>49</v>
      </c>
      <c r="AX284" s="57">
        <v>50</v>
      </c>
      <c r="AY284" s="57">
        <v>51</v>
      </c>
      <c r="AZ284" s="57">
        <v>52</v>
      </c>
      <c r="BA284" s="57">
        <v>53</v>
      </c>
      <c r="BB284" s="57">
        <v>54</v>
      </c>
      <c r="BC284" s="57">
        <v>55</v>
      </c>
      <c r="BD284" s="57">
        <v>56</v>
      </c>
      <c r="BE284" s="57">
        <v>57</v>
      </c>
      <c r="BG284" s="57">
        <v>40</v>
      </c>
      <c r="BH284" s="57">
        <v>41</v>
      </c>
      <c r="BI284" s="57">
        <v>42</v>
      </c>
      <c r="BJ284" s="57">
        <v>43</v>
      </c>
      <c r="BK284" s="57">
        <v>44</v>
      </c>
      <c r="BL284" s="57">
        <v>45</v>
      </c>
      <c r="BM284" s="57">
        <v>46</v>
      </c>
      <c r="BN284" s="57">
        <v>47</v>
      </c>
      <c r="BO284" s="57">
        <v>48</v>
      </c>
      <c r="BP284" s="57">
        <v>49</v>
      </c>
      <c r="BQ284" s="57">
        <v>50</v>
      </c>
      <c r="BR284" s="57">
        <v>51</v>
      </c>
      <c r="BS284" s="57">
        <v>52</v>
      </c>
      <c r="BT284" s="57">
        <v>53</v>
      </c>
      <c r="BU284" s="57">
        <v>54</v>
      </c>
      <c r="BV284" s="57">
        <v>55</v>
      </c>
      <c r="BW284" s="57">
        <v>56</v>
      </c>
      <c r="BX284" s="57">
        <v>57</v>
      </c>
      <c r="BZ284" s="57">
        <v>40</v>
      </c>
      <c r="CA284" s="57">
        <v>41</v>
      </c>
      <c r="CB284" s="57">
        <v>42</v>
      </c>
      <c r="CC284" s="57">
        <v>43</v>
      </c>
      <c r="CD284" s="57">
        <v>44</v>
      </c>
      <c r="CE284" s="57">
        <v>45</v>
      </c>
      <c r="CF284" s="57">
        <v>46</v>
      </c>
      <c r="CG284" s="57">
        <v>47</v>
      </c>
      <c r="CH284" s="57">
        <v>48</v>
      </c>
      <c r="CI284" s="57">
        <v>49</v>
      </c>
      <c r="CJ284" s="57">
        <v>50</v>
      </c>
      <c r="CK284" s="57">
        <v>51</v>
      </c>
      <c r="CL284" s="57">
        <v>52</v>
      </c>
      <c r="CM284" s="57">
        <v>53</v>
      </c>
      <c r="CN284" s="57">
        <v>54</v>
      </c>
      <c r="CO284" s="57">
        <v>55</v>
      </c>
      <c r="CP284" s="57">
        <v>56</v>
      </c>
      <c r="CQ284" s="57">
        <v>57</v>
      </c>
    </row>
    <row r="285" spans="1:95" s="63" customFormat="1" ht="12.75" customHeight="1" x14ac:dyDescent="0.3">
      <c r="A285" s="571" t="s">
        <v>74</v>
      </c>
      <c r="B285" s="572" t="s">
        <v>16</v>
      </c>
      <c r="C285" s="568" t="s">
        <v>73</v>
      </c>
      <c r="D285" s="569"/>
      <c r="E285" s="569"/>
      <c r="F285" s="570"/>
      <c r="G285" s="213" t="s">
        <v>437</v>
      </c>
      <c r="H285" s="575" t="s">
        <v>86</v>
      </c>
      <c r="I285" s="576"/>
      <c r="J285" s="576"/>
      <c r="K285" s="576"/>
      <c r="L285" s="576"/>
      <c r="M285" s="576"/>
      <c r="N285" s="576"/>
      <c r="O285" s="576"/>
      <c r="P285" s="576"/>
      <c r="Q285" s="576"/>
      <c r="R285" s="577"/>
      <c r="S285" s="58"/>
      <c r="T285" s="58"/>
      <c r="U285" s="58"/>
      <c r="V285" s="58"/>
      <c r="W285" s="58"/>
      <c r="X285" s="58"/>
      <c r="Y285" s="58"/>
      <c r="Z285" s="58"/>
      <c r="AA285" s="58"/>
      <c r="AB285" s="58"/>
      <c r="AC285" s="58"/>
      <c r="AD285" s="58"/>
      <c r="AE285" s="58"/>
      <c r="AF285" s="58"/>
      <c r="AG285" s="58"/>
      <c r="AH285" s="58"/>
      <c r="AI285" s="58"/>
      <c r="AJ285" s="58"/>
      <c r="AK285" s="58"/>
      <c r="AL285" s="58"/>
      <c r="AM285" s="58"/>
      <c r="AN285" s="552" t="str">
        <f>BZ285</f>
        <v>Akciós Prolift700 M bordás woodgrain</v>
      </c>
      <c r="AO285" s="553"/>
      <c r="AP285" s="552" t="str">
        <f t="shared" ref="AP285" si="5">CB285</f>
        <v>Akciós Prolift700 L bordás Planar</v>
      </c>
      <c r="AQ285" s="553"/>
      <c r="AR285" s="552" t="str">
        <f t="shared" ref="AR285" si="6">CD285</f>
        <v>Akciós Promatic M bordás woodgrain</v>
      </c>
      <c r="AS285" s="553"/>
      <c r="AT285" s="552" t="str">
        <f t="shared" ref="AT285" si="7">CF285</f>
        <v>Akciós Promatic L bordás Planar</v>
      </c>
      <c r="AU285" s="553"/>
      <c r="AV285" s="552" t="str">
        <f t="shared" ref="AV285" si="8">CH285</f>
        <v>Akciós Supramatic E                  M bordás woodgrain</v>
      </c>
      <c r="AW285" s="553"/>
      <c r="AX285" s="552" t="str">
        <f t="shared" ref="AX285" si="9">CJ285</f>
        <v>Akciós Supramatic E                  L bordás Planar</v>
      </c>
      <c r="AY285" s="553"/>
      <c r="AZ285" s="552" t="str">
        <f t="shared" ref="AZ285" si="10">CL285</f>
        <v>Akciós Prolift700                     L bordás Slategrain</v>
      </c>
      <c r="BA285" s="553"/>
      <c r="BB285" s="552" t="str">
        <f t="shared" ref="BB285" si="11">CN285</f>
        <v>Akciós Promatic L bordás Slategrain</v>
      </c>
      <c r="BC285" s="553"/>
      <c r="BD285" s="552" t="str">
        <f t="shared" ref="BD285" si="12">CP285</f>
        <v>Akciós Supramatic E             L bordás Slategrain</v>
      </c>
      <c r="BE285" s="553"/>
      <c r="BG285" s="552" t="s">
        <v>368</v>
      </c>
      <c r="BH285" s="553"/>
      <c r="BI285" s="552" t="s">
        <v>371</v>
      </c>
      <c r="BJ285" s="553"/>
      <c r="BK285" s="552" t="s">
        <v>369</v>
      </c>
      <c r="BL285" s="553"/>
      <c r="BM285" s="552" t="s">
        <v>370</v>
      </c>
      <c r="BN285" s="553"/>
      <c r="BO285" s="552" t="s">
        <v>489</v>
      </c>
      <c r="BP285" s="553"/>
      <c r="BQ285" s="552" t="s">
        <v>491</v>
      </c>
      <c r="BR285" s="553"/>
      <c r="BS285" s="552" t="s">
        <v>490</v>
      </c>
      <c r="BT285" s="553"/>
      <c r="BU285" s="552" t="s">
        <v>470</v>
      </c>
      <c r="BV285" s="553"/>
      <c r="BW285" s="552" t="s">
        <v>492</v>
      </c>
      <c r="BX285" s="553"/>
      <c r="BZ285" s="548" t="s">
        <v>368</v>
      </c>
      <c r="CA285" s="549"/>
      <c r="CB285" s="548" t="s">
        <v>371</v>
      </c>
      <c r="CC285" s="549"/>
      <c r="CD285" s="548" t="s">
        <v>369</v>
      </c>
      <c r="CE285" s="549"/>
      <c r="CF285" s="548" t="s">
        <v>623</v>
      </c>
      <c r="CG285" s="549"/>
      <c r="CH285" s="548" t="s">
        <v>489</v>
      </c>
      <c r="CI285" s="549"/>
      <c r="CJ285" s="548" t="s">
        <v>491</v>
      </c>
      <c r="CK285" s="549"/>
      <c r="CL285" s="548" t="s">
        <v>620</v>
      </c>
      <c r="CM285" s="549"/>
      <c r="CN285" s="548" t="s">
        <v>621</v>
      </c>
      <c r="CO285" s="549"/>
      <c r="CP285" s="548" t="s">
        <v>622</v>
      </c>
      <c r="CQ285" s="549"/>
    </row>
    <row r="286" spans="1:95" s="64" customFormat="1" ht="11.25" customHeight="1" x14ac:dyDescent="0.3">
      <c r="A286" s="571"/>
      <c r="B286" s="572"/>
      <c r="C286" s="200" t="s">
        <v>82</v>
      </c>
      <c r="D286" s="200" t="s">
        <v>83</v>
      </c>
      <c r="E286" s="200" t="s">
        <v>85</v>
      </c>
      <c r="F286" s="200" t="s">
        <v>119</v>
      </c>
      <c r="G286" s="214" t="s">
        <v>438</v>
      </c>
      <c r="H286" s="573" t="s">
        <v>453</v>
      </c>
      <c r="I286" s="573"/>
      <c r="J286" s="574"/>
      <c r="K286" s="578" t="s">
        <v>82</v>
      </c>
      <c r="L286" s="578"/>
      <c r="M286" s="564" t="s">
        <v>83</v>
      </c>
      <c r="N286" s="565"/>
      <c r="O286" s="566"/>
      <c r="P286" s="564" t="s">
        <v>85</v>
      </c>
      <c r="Q286" s="565"/>
      <c r="R286" s="566"/>
      <c r="S286" s="59"/>
      <c r="T286" s="59"/>
      <c r="U286" s="59"/>
      <c r="V286" s="59"/>
      <c r="W286" s="59"/>
      <c r="X286" s="59"/>
      <c r="Y286" s="59"/>
      <c r="Z286" s="59"/>
      <c r="AA286" s="564" t="s">
        <v>93</v>
      </c>
      <c r="AB286" s="566"/>
      <c r="AC286" s="62"/>
      <c r="AD286" s="154"/>
      <c r="AE286" s="154"/>
      <c r="AF286" s="59"/>
      <c r="AG286" s="59"/>
      <c r="AH286" s="152" t="s">
        <v>333</v>
      </c>
      <c r="AI286" s="59"/>
      <c r="AJ286" s="59"/>
      <c r="AK286" s="59"/>
      <c r="AL286" s="59"/>
      <c r="AM286" s="59"/>
      <c r="AN286" s="554"/>
      <c r="AO286" s="555"/>
      <c r="AP286" s="554"/>
      <c r="AQ286" s="555"/>
      <c r="AR286" s="554"/>
      <c r="AS286" s="555"/>
      <c r="AT286" s="554"/>
      <c r="AU286" s="555"/>
      <c r="AV286" s="554"/>
      <c r="AW286" s="555"/>
      <c r="AX286" s="554"/>
      <c r="AY286" s="555"/>
      <c r="AZ286" s="554"/>
      <c r="BA286" s="555"/>
      <c r="BB286" s="554"/>
      <c r="BC286" s="555"/>
      <c r="BD286" s="554"/>
      <c r="BE286" s="555"/>
      <c r="BG286" s="554"/>
      <c r="BH286" s="555"/>
      <c r="BI286" s="554"/>
      <c r="BJ286" s="555"/>
      <c r="BK286" s="554"/>
      <c r="BL286" s="555"/>
      <c r="BM286" s="554"/>
      <c r="BN286" s="555"/>
      <c r="BO286" s="554"/>
      <c r="BP286" s="555"/>
      <c r="BQ286" s="554"/>
      <c r="BR286" s="555"/>
      <c r="BS286" s="554"/>
      <c r="BT286" s="555"/>
      <c r="BU286" s="554"/>
      <c r="BV286" s="555"/>
      <c r="BW286" s="554"/>
      <c r="BX286" s="555"/>
      <c r="BZ286" s="550"/>
      <c r="CA286" s="551"/>
      <c r="CB286" s="550"/>
      <c r="CC286" s="551"/>
      <c r="CD286" s="550"/>
      <c r="CE286" s="551"/>
      <c r="CF286" s="550"/>
      <c r="CG286" s="551"/>
      <c r="CH286" s="550"/>
      <c r="CI286" s="551"/>
      <c r="CJ286" s="550"/>
      <c r="CK286" s="551"/>
      <c r="CL286" s="550"/>
      <c r="CM286" s="551"/>
      <c r="CN286" s="550"/>
      <c r="CO286" s="551"/>
      <c r="CP286" s="550"/>
      <c r="CQ286" s="551"/>
    </row>
    <row r="287" spans="1:95" s="65" customFormat="1" x14ac:dyDescent="0.3">
      <c r="A287" s="571"/>
      <c r="B287" s="572"/>
      <c r="C287" s="201" t="s">
        <v>17</v>
      </c>
      <c r="D287" s="201" t="s">
        <v>17</v>
      </c>
      <c r="E287" s="201" t="s">
        <v>17</v>
      </c>
      <c r="F287" s="201" t="s">
        <v>17</v>
      </c>
      <c r="G287" s="215"/>
      <c r="H287" s="191" t="s">
        <v>88</v>
      </c>
      <c r="I287" s="191" t="s">
        <v>17</v>
      </c>
      <c r="J287" s="191" t="s">
        <v>18</v>
      </c>
      <c r="K287" s="60" t="s">
        <v>17</v>
      </c>
      <c r="L287" s="60" t="s">
        <v>18</v>
      </c>
      <c r="M287" s="60" t="s">
        <v>17</v>
      </c>
      <c r="N287" s="60" t="s">
        <v>87</v>
      </c>
      <c r="O287" s="61" t="s">
        <v>88</v>
      </c>
      <c r="P287" s="60" t="s">
        <v>17</v>
      </c>
      <c r="Q287" s="60" t="s">
        <v>87</v>
      </c>
      <c r="R287" s="61" t="s">
        <v>88</v>
      </c>
      <c r="S287" s="60"/>
      <c r="T287" s="60"/>
      <c r="U287" s="60" t="s">
        <v>92</v>
      </c>
      <c r="V287" s="60" t="s">
        <v>94</v>
      </c>
      <c r="W287" s="60" t="s">
        <v>226</v>
      </c>
      <c r="X287" s="60" t="s">
        <v>55</v>
      </c>
      <c r="Y287" s="60" t="s">
        <v>56</v>
      </c>
      <c r="Z287" s="60"/>
      <c r="AA287" s="60" t="s">
        <v>57</v>
      </c>
      <c r="AB287" s="60" t="s">
        <v>58</v>
      </c>
      <c r="AC287" s="175" t="s">
        <v>117</v>
      </c>
      <c r="AD287" s="155" t="s">
        <v>114</v>
      </c>
      <c r="AE287" s="156"/>
      <c r="AF287" s="60" t="s">
        <v>231</v>
      </c>
      <c r="AG287" s="60" t="s">
        <v>338</v>
      </c>
      <c r="AH287" s="60" t="s">
        <v>344</v>
      </c>
      <c r="AI287" s="60" t="s">
        <v>239</v>
      </c>
      <c r="AJ287" s="60" t="s">
        <v>235</v>
      </c>
      <c r="AK287" s="60" t="s">
        <v>240</v>
      </c>
      <c r="AL287" s="60" t="s">
        <v>241</v>
      </c>
      <c r="AM287" s="60" t="s">
        <v>242</v>
      </c>
      <c r="AN287" s="177" t="s">
        <v>366</v>
      </c>
      <c r="AO287" s="178" t="s">
        <v>367</v>
      </c>
      <c r="AP287" s="177" t="s">
        <v>366</v>
      </c>
      <c r="AQ287" s="178" t="s">
        <v>367</v>
      </c>
      <c r="AR287" s="177" t="s">
        <v>366</v>
      </c>
      <c r="AS287" s="178" t="s">
        <v>367</v>
      </c>
      <c r="AT287" s="177" t="s">
        <v>366</v>
      </c>
      <c r="AU287" s="178" t="s">
        <v>367</v>
      </c>
      <c r="AV287" s="177" t="s">
        <v>366</v>
      </c>
      <c r="AW287" s="178" t="s">
        <v>367</v>
      </c>
      <c r="AX287" s="177" t="s">
        <v>366</v>
      </c>
      <c r="AY287" s="178" t="s">
        <v>367</v>
      </c>
      <c r="AZ287" s="177" t="s">
        <v>366</v>
      </c>
      <c r="BA287" s="178" t="s">
        <v>367</v>
      </c>
      <c r="BB287" s="177" t="s">
        <v>366</v>
      </c>
      <c r="BC287" s="178" t="s">
        <v>367</v>
      </c>
      <c r="BD287" s="177" t="s">
        <v>366</v>
      </c>
      <c r="BE287" s="178" t="s">
        <v>367</v>
      </c>
      <c r="BG287" s="177" t="s">
        <v>366</v>
      </c>
      <c r="BH287" s="178" t="s">
        <v>367</v>
      </c>
      <c r="BI287" s="177" t="s">
        <v>366</v>
      </c>
      <c r="BJ287" s="178" t="s">
        <v>367</v>
      </c>
      <c r="BK287" s="177" t="s">
        <v>366</v>
      </c>
      <c r="BL287" s="178" t="s">
        <v>367</v>
      </c>
      <c r="BM287" s="177" t="s">
        <v>366</v>
      </c>
      <c r="BN287" s="178" t="s">
        <v>367</v>
      </c>
      <c r="BO287" s="177" t="s">
        <v>366</v>
      </c>
      <c r="BP287" s="178" t="s">
        <v>367</v>
      </c>
      <c r="BQ287" s="177" t="s">
        <v>366</v>
      </c>
      <c r="BR287" s="178" t="s">
        <v>367</v>
      </c>
      <c r="BS287" s="177" t="s">
        <v>366</v>
      </c>
      <c r="BT287" s="178" t="s">
        <v>367</v>
      </c>
      <c r="BU287" s="177" t="s">
        <v>366</v>
      </c>
      <c r="BV287" s="178" t="s">
        <v>367</v>
      </c>
      <c r="BW287" s="177" t="s">
        <v>366</v>
      </c>
      <c r="BX287" s="178" t="s">
        <v>367</v>
      </c>
      <c r="BZ287" s="177" t="s">
        <v>366</v>
      </c>
      <c r="CA287" s="178" t="s">
        <v>367</v>
      </c>
      <c r="CB287" s="177" t="s">
        <v>366</v>
      </c>
      <c r="CC287" s="178" t="s">
        <v>367</v>
      </c>
      <c r="CD287" s="177" t="s">
        <v>366</v>
      </c>
      <c r="CE287" s="178" t="s">
        <v>367</v>
      </c>
      <c r="CF287" s="177" t="s">
        <v>366</v>
      </c>
      <c r="CG287" s="178" t="s">
        <v>367</v>
      </c>
      <c r="CH287" s="177" t="s">
        <v>366</v>
      </c>
      <c r="CI287" s="178" t="s">
        <v>367</v>
      </c>
      <c r="CJ287" s="177" t="s">
        <v>366</v>
      </c>
      <c r="CK287" s="178" t="s">
        <v>367</v>
      </c>
      <c r="CL287" s="177" t="s">
        <v>366</v>
      </c>
      <c r="CM287" s="178" t="s">
        <v>367</v>
      </c>
      <c r="CN287" s="177" t="s">
        <v>366</v>
      </c>
      <c r="CO287" s="178" t="s">
        <v>367</v>
      </c>
      <c r="CP287" s="177" t="s">
        <v>366</v>
      </c>
      <c r="CQ287" s="178" t="s">
        <v>367</v>
      </c>
    </row>
    <row r="288" spans="1:95" x14ac:dyDescent="0.3">
      <c r="A288" s="66">
        <v>1</v>
      </c>
      <c r="B288" s="67" t="s">
        <v>76</v>
      </c>
      <c r="C288" s="199" t="s">
        <v>84</v>
      </c>
      <c r="D288" s="199" t="s">
        <v>84</v>
      </c>
      <c r="E288" s="199" t="s">
        <v>84</v>
      </c>
      <c r="F288" s="199" t="s">
        <v>84</v>
      </c>
      <c r="G288" s="112">
        <f>$E$256</f>
        <v>65600</v>
      </c>
      <c r="H288" s="255">
        <v>497000</v>
      </c>
      <c r="I288" s="255">
        <v>383400</v>
      </c>
      <c r="J288" s="255">
        <v>429600</v>
      </c>
      <c r="K288" s="255">
        <v>346500</v>
      </c>
      <c r="L288" s="280">
        <v>392700</v>
      </c>
      <c r="M288" s="255">
        <v>346500</v>
      </c>
      <c r="N288" s="280">
        <f>L288</f>
        <v>392700</v>
      </c>
      <c r="O288" s="255">
        <v>437200</v>
      </c>
      <c r="P288" s="255">
        <v>399100</v>
      </c>
      <c r="Q288" s="255">
        <v>445200</v>
      </c>
      <c r="R288" s="255" t="s">
        <v>84</v>
      </c>
      <c r="S288" s="192" t="s">
        <v>89</v>
      </c>
      <c r="T288" s="192" t="s">
        <v>61</v>
      </c>
      <c r="U288" s="192">
        <v>3200</v>
      </c>
      <c r="V288" s="192">
        <v>1</v>
      </c>
      <c r="W288" s="217">
        <f>AL288</f>
        <v>123200</v>
      </c>
      <c r="X288" s="192">
        <v>2190</v>
      </c>
      <c r="Y288" s="192">
        <v>1955</v>
      </c>
      <c r="Z288" s="192" t="s">
        <v>91</v>
      </c>
      <c r="AA288" s="192">
        <v>100</v>
      </c>
      <c r="AB288" s="192">
        <v>125</v>
      </c>
      <c r="AC288" s="255">
        <f>50000*1.3</f>
        <v>65000</v>
      </c>
      <c r="AD288" s="192">
        <v>0</v>
      </c>
      <c r="AE288" s="197" t="s">
        <v>84</v>
      </c>
      <c r="AF288" s="216">
        <f t="shared" ref="AF288:AF319" si="13">$F$135-$F$134</f>
        <v>43100</v>
      </c>
      <c r="AG288" s="224">
        <f t="shared" ref="AG288:AG310" ca="1" si="14">($K$222+$K$223+$K$224)</f>
        <v>471100</v>
      </c>
      <c r="AH288" s="224">
        <f t="shared" ref="AH288:AH319" ca="1" si="15">AG288-$K$224+$K$225+$K$226+$K$227</f>
        <v>544466.52380952379</v>
      </c>
      <c r="AI288" s="216">
        <f t="shared" ref="AI288:AI319" si="16">AJ288*($C$184+IF($B$173=1,0,$C$185))</f>
        <v>104400</v>
      </c>
      <c r="AJ288" s="223">
        <v>4</v>
      </c>
      <c r="AK288" s="198" t="s">
        <v>244</v>
      </c>
      <c r="AL288" s="216">
        <f t="shared" ref="AL288:AL299" si="17">$J$134</f>
        <v>123200</v>
      </c>
      <c r="AM288" s="216">
        <f t="shared" ref="AM288:AM299" si="18">$J$137</f>
        <v>166300</v>
      </c>
      <c r="AN288" s="230" t="str">
        <f ca="1">IF($BZ$279&lt;=TODAY(),BZ288,BG288)</f>
        <v>nincs</v>
      </c>
      <c r="AO288" s="230" t="str">
        <f t="shared" ref="AO288:BE294" ca="1" si="19">IF($BZ$279&lt;=TODAY(),CA288,BH288)</f>
        <v>nincs</v>
      </c>
      <c r="AP288" s="230" t="str">
        <f t="shared" ca="1" si="19"/>
        <v>nincs</v>
      </c>
      <c r="AQ288" s="230" t="str">
        <f t="shared" ca="1" si="19"/>
        <v>nincs</v>
      </c>
      <c r="AR288" s="230" t="str">
        <f t="shared" ca="1" si="19"/>
        <v>nincs</v>
      </c>
      <c r="AS288" s="230" t="str">
        <f t="shared" ca="1" si="19"/>
        <v>nincs</v>
      </c>
      <c r="AT288" s="230" t="str">
        <f t="shared" ca="1" si="19"/>
        <v>nincs</v>
      </c>
      <c r="AU288" s="230" t="str">
        <f t="shared" ca="1" si="19"/>
        <v>nincs</v>
      </c>
      <c r="AV288" s="230" t="str">
        <f t="shared" ca="1" si="19"/>
        <v>nincs</v>
      </c>
      <c r="AW288" s="230" t="str">
        <f t="shared" ca="1" si="19"/>
        <v>nincs</v>
      </c>
      <c r="AX288" s="230" t="str">
        <f t="shared" ca="1" si="19"/>
        <v>nincs</v>
      </c>
      <c r="AY288" s="230" t="str">
        <f t="shared" ca="1" si="19"/>
        <v>nincs</v>
      </c>
      <c r="AZ288" s="230" t="str">
        <f t="shared" ca="1" si="19"/>
        <v>nincs</v>
      </c>
      <c r="BA288" s="230" t="str">
        <f t="shared" ca="1" si="19"/>
        <v>nincs</v>
      </c>
      <c r="BB288" s="230" t="str">
        <f t="shared" ca="1" si="19"/>
        <v>nincs</v>
      </c>
      <c r="BC288" s="230" t="str">
        <f t="shared" ca="1" si="19"/>
        <v>nincs</v>
      </c>
      <c r="BD288" s="230" t="str">
        <f t="shared" ca="1" si="19"/>
        <v>nincs</v>
      </c>
      <c r="BE288" s="230" t="str">
        <f t="shared" ca="1" si="19"/>
        <v>nincs</v>
      </c>
      <c r="BG288" s="313" t="s">
        <v>84</v>
      </c>
      <c r="BH288" s="282" t="str">
        <f t="shared" ref="BH288:BH293" si="20">IF(BG288="nincs","nincs",ROUND(BG288/1.27,0))</f>
        <v>nincs</v>
      </c>
      <c r="BI288" s="313" t="s">
        <v>84</v>
      </c>
      <c r="BJ288" s="282" t="str">
        <f t="shared" ref="BJ288:BJ304" si="21">IF(BI288="nincs","nincs",ROUND(BI288/1.27,0))</f>
        <v>nincs</v>
      </c>
      <c r="BK288" s="313" t="s">
        <v>84</v>
      </c>
      <c r="BL288" s="282" t="str">
        <f t="shared" ref="BL288:BL304" si="22">IF(BK288="nincs","nincs",ROUND(BK288/1.27,0))</f>
        <v>nincs</v>
      </c>
      <c r="BM288" s="313" t="s">
        <v>84</v>
      </c>
      <c r="BN288" s="282" t="str">
        <f t="shared" ref="BN288:BN304" si="23">IF(BM288="nincs","nincs",ROUND(BM288/1.27,0))</f>
        <v>nincs</v>
      </c>
      <c r="BO288" s="313" t="s">
        <v>84</v>
      </c>
      <c r="BP288" s="282" t="str">
        <f>IF(BO288="nincs","nincs",ROUND(BO288/1.27,0))</f>
        <v>nincs</v>
      </c>
      <c r="BQ288" s="313" t="s">
        <v>84</v>
      </c>
      <c r="BR288" s="282" t="str">
        <f t="shared" ref="BR288:BR349" si="24">IF(BQ288="nincs","nincs",ROUND(BQ288/1.27,0))</f>
        <v>nincs</v>
      </c>
      <c r="BS288" s="313" t="s">
        <v>84</v>
      </c>
      <c r="BT288" s="282" t="str">
        <f t="shared" ref="BT288:BT349" si="25">IF(BS288="nincs","nincs",ROUND(BS288/1.27,0))</f>
        <v>nincs</v>
      </c>
      <c r="BU288" s="313" t="s">
        <v>84</v>
      </c>
      <c r="BV288" s="282" t="str">
        <f t="shared" ref="BV288:BV349" si="26">IF(BU288="nincs","nincs",ROUND(BU288/1.27,0))</f>
        <v>nincs</v>
      </c>
      <c r="BW288" s="313" t="s">
        <v>84</v>
      </c>
      <c r="BX288" s="282" t="str">
        <f t="shared" ref="BX288:BX349" si="27">IF(BW288="nincs","nincs",ROUND(BW288/1.27,0))</f>
        <v>nincs</v>
      </c>
      <c r="BZ288" s="313" t="s">
        <v>84</v>
      </c>
      <c r="CA288" s="282" t="str">
        <f t="shared" ref="CA288:CA319" si="28">IF(BZ288="nincs","nincs",ROUND(BZ288/1.27,0))</f>
        <v>nincs</v>
      </c>
      <c r="CB288" s="313" t="s">
        <v>84</v>
      </c>
      <c r="CC288" s="282" t="str">
        <f t="shared" ref="CC288:CC319" si="29">IF(CB288="nincs","nincs",ROUND(CB288/1.27,0))</f>
        <v>nincs</v>
      </c>
      <c r="CD288" s="313" t="s">
        <v>84</v>
      </c>
      <c r="CE288" s="282" t="str">
        <f t="shared" ref="CE288:CE319" si="30">IF(CD288="nincs","nincs",ROUND(CD288/1.27,0))</f>
        <v>nincs</v>
      </c>
      <c r="CF288" s="313" t="s">
        <v>84</v>
      </c>
      <c r="CG288" s="282" t="str">
        <f t="shared" ref="CG288:CG319" si="31">IF(CF288="nincs","nincs",ROUND(CF288/1.27,0))</f>
        <v>nincs</v>
      </c>
      <c r="CH288" s="313" t="s">
        <v>84</v>
      </c>
      <c r="CI288" s="282" t="str">
        <f t="shared" ref="CI288:CI319" si="32">IF(CH288="nincs","nincs",ROUND(CH288/1.27,0))</f>
        <v>nincs</v>
      </c>
      <c r="CJ288" s="313" t="s">
        <v>84</v>
      </c>
      <c r="CK288" s="282" t="str">
        <f t="shared" ref="CK288:CK319" si="33">IF(CJ288="nincs","nincs",ROUND(CJ288/1.27,0))</f>
        <v>nincs</v>
      </c>
      <c r="CL288" s="313" t="s">
        <v>84</v>
      </c>
      <c r="CM288" s="282" t="str">
        <f t="shared" ref="CM288:CM319" si="34">IF(CL288="nincs","nincs",ROUND(CL288/1.27,0))</f>
        <v>nincs</v>
      </c>
      <c r="CN288" s="313" t="s">
        <v>84</v>
      </c>
      <c r="CO288" s="282" t="str">
        <f t="shared" ref="CO288:CO319" si="35">IF(CN288="nincs","nincs",ROUND(CN288/1.27,0))</f>
        <v>nincs</v>
      </c>
      <c r="CP288" s="313" t="s">
        <v>84</v>
      </c>
      <c r="CQ288" s="282" t="str">
        <f t="shared" ref="CQ288:CQ319" si="36">IF(CP288="nincs","nincs",ROUND(CP288/1.27,0))</f>
        <v>nincs</v>
      </c>
    </row>
    <row r="289" spans="1:95" x14ac:dyDescent="0.3">
      <c r="A289" s="68">
        <v>2</v>
      </c>
      <c r="B289" s="69" t="s">
        <v>75</v>
      </c>
      <c r="C289" s="199" t="s">
        <v>84</v>
      </c>
      <c r="D289" s="199" t="s">
        <v>84</v>
      </c>
      <c r="E289" s="199" t="s">
        <v>84</v>
      </c>
      <c r="F289" s="199" t="s">
        <v>84</v>
      </c>
      <c r="G289" s="112">
        <f t="shared" ref="G289:G325" si="37">$E$256</f>
        <v>65600</v>
      </c>
      <c r="H289" s="255">
        <v>497000</v>
      </c>
      <c r="I289" s="255">
        <v>382900</v>
      </c>
      <c r="J289" s="255">
        <v>432100</v>
      </c>
      <c r="K289" s="280">
        <v>346500</v>
      </c>
      <c r="L289" s="280">
        <v>395700</v>
      </c>
      <c r="M289" s="280">
        <v>346500</v>
      </c>
      <c r="N289" s="280">
        <f t="shared" ref="N289:N352" si="38">L289</f>
        <v>395700</v>
      </c>
      <c r="O289" s="280">
        <v>437200</v>
      </c>
      <c r="P289" s="255">
        <v>399600</v>
      </c>
      <c r="Q289" s="255">
        <v>448800</v>
      </c>
      <c r="R289" s="255" t="s">
        <v>84</v>
      </c>
      <c r="S289" s="192" t="s">
        <v>89</v>
      </c>
      <c r="T289" s="193" t="s">
        <v>61</v>
      </c>
      <c r="U289" s="192">
        <v>3200</v>
      </c>
      <c r="V289" s="192">
        <v>1</v>
      </c>
      <c r="W289" s="217">
        <f t="shared" ref="W289:W344" si="39">AL289</f>
        <v>123200</v>
      </c>
      <c r="X289" s="192">
        <v>2190</v>
      </c>
      <c r="Y289" s="192">
        <v>2080</v>
      </c>
      <c r="Z289" s="192" t="s">
        <v>91</v>
      </c>
      <c r="AA289" s="192">
        <v>100</v>
      </c>
      <c r="AB289" s="192">
        <v>125</v>
      </c>
      <c r="AC289" s="217">
        <f>AC288</f>
        <v>65000</v>
      </c>
      <c r="AD289" s="192">
        <v>0</v>
      </c>
      <c r="AE289" s="197" t="s">
        <v>84</v>
      </c>
      <c r="AF289" s="216">
        <f t="shared" si="13"/>
        <v>43100</v>
      </c>
      <c r="AG289" s="224">
        <f t="shared" ca="1" si="14"/>
        <v>471100</v>
      </c>
      <c r="AH289" s="224">
        <f t="shared" ca="1" si="15"/>
        <v>544466.52380952379</v>
      </c>
      <c r="AI289" s="216">
        <f t="shared" si="16"/>
        <v>104400</v>
      </c>
      <c r="AJ289" s="223">
        <v>4</v>
      </c>
      <c r="AK289" s="198" t="s">
        <v>244</v>
      </c>
      <c r="AL289" s="216">
        <f t="shared" si="17"/>
        <v>123200</v>
      </c>
      <c r="AM289" s="216">
        <f t="shared" si="18"/>
        <v>166300</v>
      </c>
      <c r="AN289" s="230" t="str">
        <f t="shared" ref="AN289:AN294" ca="1" si="40">IF($BZ$279&lt;=TODAY(),BZ289,BG289)</f>
        <v>nincs</v>
      </c>
      <c r="AO289" s="230" t="str">
        <f t="shared" ca="1" si="19"/>
        <v>nincs</v>
      </c>
      <c r="AP289" s="230" t="str">
        <f t="shared" ca="1" si="19"/>
        <v>nincs</v>
      </c>
      <c r="AQ289" s="230" t="str">
        <f t="shared" ca="1" si="19"/>
        <v>nincs</v>
      </c>
      <c r="AR289" s="230" t="str">
        <f t="shared" ca="1" si="19"/>
        <v>nincs</v>
      </c>
      <c r="AS289" s="230" t="str">
        <f t="shared" ca="1" si="19"/>
        <v>nincs</v>
      </c>
      <c r="AT289" s="230" t="str">
        <f t="shared" ca="1" si="19"/>
        <v>nincs</v>
      </c>
      <c r="AU289" s="230" t="str">
        <f t="shared" ca="1" si="19"/>
        <v>nincs</v>
      </c>
      <c r="AV289" s="230" t="str">
        <f t="shared" ca="1" si="19"/>
        <v>nincs</v>
      </c>
      <c r="AW289" s="230" t="str">
        <f t="shared" ca="1" si="19"/>
        <v>nincs</v>
      </c>
      <c r="AX289" s="230" t="str">
        <f t="shared" ca="1" si="19"/>
        <v>nincs</v>
      </c>
      <c r="AY289" s="230" t="str">
        <f t="shared" ca="1" si="19"/>
        <v>nincs</v>
      </c>
      <c r="AZ289" s="230" t="str">
        <f t="shared" ca="1" si="19"/>
        <v>nincs</v>
      </c>
      <c r="BA289" s="230" t="str">
        <f t="shared" ca="1" si="19"/>
        <v>nincs</v>
      </c>
      <c r="BB289" s="230" t="str">
        <f t="shared" ca="1" si="19"/>
        <v>nincs</v>
      </c>
      <c r="BC289" s="230" t="str">
        <f t="shared" ca="1" si="19"/>
        <v>nincs</v>
      </c>
      <c r="BD289" s="230" t="str">
        <f t="shared" ca="1" si="19"/>
        <v>nincs</v>
      </c>
      <c r="BE289" s="230" t="str">
        <f t="shared" ca="1" si="19"/>
        <v>nincs</v>
      </c>
      <c r="BG289" s="313" t="s">
        <v>84</v>
      </c>
      <c r="BH289" s="282" t="str">
        <f t="shared" si="20"/>
        <v>nincs</v>
      </c>
      <c r="BI289" s="313" t="s">
        <v>84</v>
      </c>
      <c r="BJ289" s="282" t="str">
        <f t="shared" si="21"/>
        <v>nincs</v>
      </c>
      <c r="BK289" s="313" t="s">
        <v>84</v>
      </c>
      <c r="BL289" s="282" t="str">
        <f t="shared" si="22"/>
        <v>nincs</v>
      </c>
      <c r="BM289" s="313" t="s">
        <v>84</v>
      </c>
      <c r="BN289" s="282" t="str">
        <f t="shared" si="23"/>
        <v>nincs</v>
      </c>
      <c r="BO289" s="313" t="s">
        <v>84</v>
      </c>
      <c r="BP289" s="282" t="str">
        <f>IF(BO289="nincs","nincs",ROUND(BO289/1.27,0))</f>
        <v>nincs</v>
      </c>
      <c r="BQ289" s="313" t="s">
        <v>84</v>
      </c>
      <c r="BR289" s="282" t="str">
        <f t="shared" si="24"/>
        <v>nincs</v>
      </c>
      <c r="BS289" s="313" t="s">
        <v>84</v>
      </c>
      <c r="BT289" s="282" t="str">
        <f t="shared" si="25"/>
        <v>nincs</v>
      </c>
      <c r="BU289" s="313" t="s">
        <v>84</v>
      </c>
      <c r="BV289" s="282" t="str">
        <f t="shared" si="26"/>
        <v>nincs</v>
      </c>
      <c r="BW289" s="313" t="s">
        <v>84</v>
      </c>
      <c r="BX289" s="282" t="str">
        <f t="shared" si="27"/>
        <v>nincs</v>
      </c>
      <c r="BZ289" s="313" t="s">
        <v>84</v>
      </c>
      <c r="CA289" s="282" t="str">
        <f t="shared" si="28"/>
        <v>nincs</v>
      </c>
      <c r="CB289" s="313" t="s">
        <v>84</v>
      </c>
      <c r="CC289" s="282" t="str">
        <f t="shared" si="29"/>
        <v>nincs</v>
      </c>
      <c r="CD289" s="313" t="s">
        <v>84</v>
      </c>
      <c r="CE289" s="282" t="str">
        <f t="shared" si="30"/>
        <v>nincs</v>
      </c>
      <c r="CF289" s="313" t="s">
        <v>84</v>
      </c>
      <c r="CG289" s="282" t="str">
        <f t="shared" si="31"/>
        <v>nincs</v>
      </c>
      <c r="CH289" s="313" t="s">
        <v>84</v>
      </c>
      <c r="CI289" s="282" t="str">
        <f t="shared" si="32"/>
        <v>nincs</v>
      </c>
      <c r="CJ289" s="313" t="s">
        <v>84</v>
      </c>
      <c r="CK289" s="282" t="str">
        <f t="shared" si="33"/>
        <v>nincs</v>
      </c>
      <c r="CL289" s="313" t="s">
        <v>84</v>
      </c>
      <c r="CM289" s="282" t="str">
        <f t="shared" si="34"/>
        <v>nincs</v>
      </c>
      <c r="CN289" s="313" t="s">
        <v>84</v>
      </c>
      <c r="CO289" s="282" t="str">
        <f t="shared" si="35"/>
        <v>nincs</v>
      </c>
      <c r="CP289" s="313" t="s">
        <v>84</v>
      </c>
      <c r="CQ289" s="282" t="str">
        <f t="shared" si="36"/>
        <v>nincs</v>
      </c>
    </row>
    <row r="290" spans="1:95" s="56" customFormat="1" x14ac:dyDescent="0.3">
      <c r="A290" s="66">
        <v>3</v>
      </c>
      <c r="B290" s="70" t="s">
        <v>64</v>
      </c>
      <c r="C290" s="199" t="s">
        <v>84</v>
      </c>
      <c r="D290" s="199" t="s">
        <v>84</v>
      </c>
      <c r="E290" s="199" t="s">
        <v>84</v>
      </c>
      <c r="F290" s="199" t="s">
        <v>84</v>
      </c>
      <c r="G290" s="112">
        <f t="shared" si="37"/>
        <v>65600</v>
      </c>
      <c r="H290" s="255">
        <v>489300</v>
      </c>
      <c r="I290" s="255">
        <v>373400</v>
      </c>
      <c r="J290" s="255">
        <v>418800</v>
      </c>
      <c r="K290" s="280">
        <v>336500</v>
      </c>
      <c r="L290" s="280">
        <v>381900</v>
      </c>
      <c r="M290" s="280">
        <v>336500</v>
      </c>
      <c r="N290" s="280">
        <f t="shared" si="38"/>
        <v>381900</v>
      </c>
      <c r="O290" s="280">
        <v>429800</v>
      </c>
      <c r="P290" s="255">
        <v>388300</v>
      </c>
      <c r="Q290" s="255">
        <v>433700</v>
      </c>
      <c r="R290" s="255" t="s">
        <v>84</v>
      </c>
      <c r="S290" s="192" t="s">
        <v>89</v>
      </c>
      <c r="T290" s="193" t="s">
        <v>61</v>
      </c>
      <c r="U290" s="192">
        <v>3200</v>
      </c>
      <c r="V290" s="192">
        <v>1</v>
      </c>
      <c r="W290" s="217">
        <f t="shared" si="39"/>
        <v>123200</v>
      </c>
      <c r="X290" s="192">
        <v>2250</v>
      </c>
      <c r="Y290" s="192">
        <v>1875</v>
      </c>
      <c r="Z290" s="192" t="s">
        <v>91</v>
      </c>
      <c r="AA290" s="192">
        <v>100</v>
      </c>
      <c r="AB290" s="192">
        <v>125</v>
      </c>
      <c r="AC290" s="217">
        <f t="shared" ref="AC290:AC354" si="41">AC289</f>
        <v>65000</v>
      </c>
      <c r="AD290" s="192">
        <v>0</v>
      </c>
      <c r="AE290" s="197" t="s">
        <v>84</v>
      </c>
      <c r="AF290" s="216">
        <f t="shared" si="13"/>
        <v>43100</v>
      </c>
      <c r="AG290" s="224">
        <f t="shared" ca="1" si="14"/>
        <v>471100</v>
      </c>
      <c r="AH290" s="224">
        <f t="shared" ca="1" si="15"/>
        <v>544466.52380952379</v>
      </c>
      <c r="AI290" s="216">
        <f t="shared" si="16"/>
        <v>104400</v>
      </c>
      <c r="AJ290" s="198">
        <v>4</v>
      </c>
      <c r="AK290" s="198" t="s">
        <v>244</v>
      </c>
      <c r="AL290" s="216">
        <f t="shared" si="17"/>
        <v>123200</v>
      </c>
      <c r="AM290" s="216">
        <f t="shared" si="18"/>
        <v>166300</v>
      </c>
      <c r="AN290" s="230" t="str">
        <f t="shared" ca="1" si="40"/>
        <v>nincs</v>
      </c>
      <c r="AO290" s="230" t="str">
        <f t="shared" ca="1" si="19"/>
        <v>nincs</v>
      </c>
      <c r="AP290" s="230" t="str">
        <f t="shared" ca="1" si="19"/>
        <v>nincs</v>
      </c>
      <c r="AQ290" s="230" t="str">
        <f t="shared" ca="1" si="19"/>
        <v>nincs</v>
      </c>
      <c r="AR290" s="230" t="str">
        <f t="shared" ca="1" si="19"/>
        <v>nincs</v>
      </c>
      <c r="AS290" s="230" t="str">
        <f t="shared" ca="1" si="19"/>
        <v>nincs</v>
      </c>
      <c r="AT290" s="230" t="str">
        <f t="shared" ca="1" si="19"/>
        <v>nincs</v>
      </c>
      <c r="AU290" s="230" t="str">
        <f t="shared" ca="1" si="19"/>
        <v>nincs</v>
      </c>
      <c r="AV290" s="230" t="str">
        <f t="shared" ca="1" si="19"/>
        <v>nincs</v>
      </c>
      <c r="AW290" s="230" t="str">
        <f t="shared" ca="1" si="19"/>
        <v>nincs</v>
      </c>
      <c r="AX290" s="230" t="str">
        <f t="shared" ca="1" si="19"/>
        <v>nincs</v>
      </c>
      <c r="AY290" s="230" t="str">
        <f t="shared" ca="1" si="19"/>
        <v>nincs</v>
      </c>
      <c r="AZ290" s="230" t="str">
        <f t="shared" ca="1" si="19"/>
        <v>nincs</v>
      </c>
      <c r="BA290" s="230" t="str">
        <f t="shared" ca="1" si="19"/>
        <v>nincs</v>
      </c>
      <c r="BB290" s="230" t="str">
        <f t="shared" ca="1" si="19"/>
        <v>nincs</v>
      </c>
      <c r="BC290" s="230" t="str">
        <f t="shared" ca="1" si="19"/>
        <v>nincs</v>
      </c>
      <c r="BD290" s="230" t="str">
        <f t="shared" ca="1" si="19"/>
        <v>nincs</v>
      </c>
      <c r="BE290" s="230" t="str">
        <f t="shared" ca="1" si="19"/>
        <v>nincs</v>
      </c>
      <c r="BG290" s="313" t="s">
        <v>84</v>
      </c>
      <c r="BH290" s="282" t="str">
        <f t="shared" si="20"/>
        <v>nincs</v>
      </c>
      <c r="BI290" s="313" t="s">
        <v>84</v>
      </c>
      <c r="BJ290" s="282" t="str">
        <f t="shared" si="21"/>
        <v>nincs</v>
      </c>
      <c r="BK290" s="313" t="s">
        <v>84</v>
      </c>
      <c r="BL290" s="282" t="str">
        <f t="shared" si="22"/>
        <v>nincs</v>
      </c>
      <c r="BM290" s="313" t="s">
        <v>84</v>
      </c>
      <c r="BN290" s="282" t="str">
        <f t="shared" si="23"/>
        <v>nincs</v>
      </c>
      <c r="BO290" s="313" t="s">
        <v>84</v>
      </c>
      <c r="BP290" s="282" t="str">
        <f>IF(BO290="nincs","nincs",ROUND(BO290/1.27,0))</f>
        <v>nincs</v>
      </c>
      <c r="BQ290" s="313" t="s">
        <v>84</v>
      </c>
      <c r="BR290" s="282" t="str">
        <f t="shared" si="24"/>
        <v>nincs</v>
      </c>
      <c r="BS290" s="313" t="s">
        <v>84</v>
      </c>
      <c r="BT290" s="282" t="str">
        <f t="shared" si="25"/>
        <v>nincs</v>
      </c>
      <c r="BU290" s="313" t="s">
        <v>84</v>
      </c>
      <c r="BV290" s="282" t="str">
        <f t="shared" si="26"/>
        <v>nincs</v>
      </c>
      <c r="BW290" s="313" t="s">
        <v>84</v>
      </c>
      <c r="BX290" s="282" t="str">
        <f t="shared" si="27"/>
        <v>nincs</v>
      </c>
      <c r="BZ290" s="313" t="s">
        <v>84</v>
      </c>
      <c r="CA290" s="282" t="str">
        <f t="shared" si="28"/>
        <v>nincs</v>
      </c>
      <c r="CB290" s="313" t="s">
        <v>84</v>
      </c>
      <c r="CC290" s="282" t="str">
        <f t="shared" si="29"/>
        <v>nincs</v>
      </c>
      <c r="CD290" s="313" t="s">
        <v>84</v>
      </c>
      <c r="CE290" s="282" t="str">
        <f t="shared" si="30"/>
        <v>nincs</v>
      </c>
      <c r="CF290" s="313" t="s">
        <v>84</v>
      </c>
      <c r="CG290" s="282" t="str">
        <f t="shared" si="31"/>
        <v>nincs</v>
      </c>
      <c r="CH290" s="313" t="s">
        <v>84</v>
      </c>
      <c r="CI290" s="282" t="str">
        <f t="shared" si="32"/>
        <v>nincs</v>
      </c>
      <c r="CJ290" s="313" t="s">
        <v>84</v>
      </c>
      <c r="CK290" s="282" t="str">
        <f t="shared" si="33"/>
        <v>nincs</v>
      </c>
      <c r="CL290" s="313" t="s">
        <v>84</v>
      </c>
      <c r="CM290" s="282" t="str">
        <f t="shared" si="34"/>
        <v>nincs</v>
      </c>
      <c r="CN290" s="313" t="s">
        <v>84</v>
      </c>
      <c r="CO290" s="282" t="str">
        <f t="shared" si="35"/>
        <v>nincs</v>
      </c>
      <c r="CP290" s="313" t="s">
        <v>84</v>
      </c>
      <c r="CQ290" s="282" t="str">
        <f t="shared" si="36"/>
        <v>nincs</v>
      </c>
    </row>
    <row r="291" spans="1:95" s="56" customFormat="1" x14ac:dyDescent="0.3">
      <c r="A291" s="68">
        <v>4</v>
      </c>
      <c r="B291" s="71" t="s">
        <v>19</v>
      </c>
      <c r="C291" s="199" t="s">
        <v>84</v>
      </c>
      <c r="D291" s="199" t="s">
        <v>84</v>
      </c>
      <c r="E291" s="199" t="s">
        <v>84</v>
      </c>
      <c r="F291" s="199" t="s">
        <v>84</v>
      </c>
      <c r="G291" s="112">
        <f t="shared" si="37"/>
        <v>65600</v>
      </c>
      <c r="H291" s="255">
        <v>497000</v>
      </c>
      <c r="I291" s="255">
        <v>383400</v>
      </c>
      <c r="J291" s="255">
        <v>431900</v>
      </c>
      <c r="K291" s="280">
        <v>346500</v>
      </c>
      <c r="L291" s="280">
        <v>395000</v>
      </c>
      <c r="M291" s="280">
        <v>346500</v>
      </c>
      <c r="N291" s="280">
        <f t="shared" si="38"/>
        <v>395000</v>
      </c>
      <c r="O291" s="280">
        <v>437200</v>
      </c>
      <c r="P291" s="255">
        <v>399100</v>
      </c>
      <c r="Q291" s="255">
        <v>447500</v>
      </c>
      <c r="R291" s="255" t="s">
        <v>84</v>
      </c>
      <c r="S291" s="192" t="s">
        <v>89</v>
      </c>
      <c r="T291" s="193" t="s">
        <v>61</v>
      </c>
      <c r="U291" s="192">
        <v>3200</v>
      </c>
      <c r="V291" s="192">
        <v>1</v>
      </c>
      <c r="W291" s="217">
        <f t="shared" si="39"/>
        <v>123200</v>
      </c>
      <c r="X291" s="192">
        <v>2250</v>
      </c>
      <c r="Y291" s="192">
        <v>2000</v>
      </c>
      <c r="Z291" s="192" t="s">
        <v>91</v>
      </c>
      <c r="AA291" s="192">
        <v>100</v>
      </c>
      <c r="AB291" s="192">
        <v>125</v>
      </c>
      <c r="AC291" s="217">
        <f t="shared" si="41"/>
        <v>65000</v>
      </c>
      <c r="AD291" s="192">
        <v>0</v>
      </c>
      <c r="AE291" s="197" t="s">
        <v>84</v>
      </c>
      <c r="AF291" s="216">
        <f t="shared" si="13"/>
        <v>43100</v>
      </c>
      <c r="AG291" s="224">
        <f t="shared" ca="1" si="14"/>
        <v>471100</v>
      </c>
      <c r="AH291" s="224">
        <f t="shared" ca="1" si="15"/>
        <v>544466.52380952379</v>
      </c>
      <c r="AI291" s="216">
        <f t="shared" si="16"/>
        <v>104400</v>
      </c>
      <c r="AJ291" s="198">
        <v>4</v>
      </c>
      <c r="AK291" s="198" t="s">
        <v>244</v>
      </c>
      <c r="AL291" s="216">
        <f t="shared" si="17"/>
        <v>123200</v>
      </c>
      <c r="AM291" s="216">
        <f t="shared" si="18"/>
        <v>166300</v>
      </c>
      <c r="AN291" s="230" t="str">
        <f t="shared" ca="1" si="40"/>
        <v>nincs</v>
      </c>
      <c r="AO291" s="230" t="str">
        <f t="shared" ca="1" si="19"/>
        <v>nincs</v>
      </c>
      <c r="AP291" s="230" t="str">
        <f t="shared" ca="1" si="19"/>
        <v>nincs</v>
      </c>
      <c r="AQ291" s="230" t="str">
        <f t="shared" ca="1" si="19"/>
        <v>nincs</v>
      </c>
      <c r="AR291" s="230" t="str">
        <f t="shared" ca="1" si="19"/>
        <v>nincs</v>
      </c>
      <c r="AS291" s="230" t="str">
        <f t="shared" ca="1" si="19"/>
        <v>nincs</v>
      </c>
      <c r="AT291" s="230" t="str">
        <f t="shared" ca="1" si="19"/>
        <v>nincs</v>
      </c>
      <c r="AU291" s="230" t="str">
        <f t="shared" ca="1" si="19"/>
        <v>nincs</v>
      </c>
      <c r="AV291" s="230" t="str">
        <f t="shared" ca="1" si="19"/>
        <v>nincs</v>
      </c>
      <c r="AW291" s="230" t="str">
        <f t="shared" ca="1" si="19"/>
        <v>nincs</v>
      </c>
      <c r="AX291" s="230" t="str">
        <f t="shared" ca="1" si="19"/>
        <v>nincs</v>
      </c>
      <c r="AY291" s="230" t="str">
        <f t="shared" ca="1" si="19"/>
        <v>nincs</v>
      </c>
      <c r="AZ291" s="230" t="str">
        <f t="shared" ca="1" si="19"/>
        <v>nincs</v>
      </c>
      <c r="BA291" s="230" t="str">
        <f t="shared" ca="1" si="19"/>
        <v>nincs</v>
      </c>
      <c r="BB291" s="230" t="str">
        <f t="shared" ca="1" si="19"/>
        <v>nincs</v>
      </c>
      <c r="BC291" s="230" t="str">
        <f t="shared" ca="1" si="19"/>
        <v>nincs</v>
      </c>
      <c r="BD291" s="230" t="str">
        <f t="shared" ca="1" si="19"/>
        <v>nincs</v>
      </c>
      <c r="BE291" s="230" t="str">
        <f t="shared" ca="1" si="19"/>
        <v>nincs</v>
      </c>
      <c r="BG291" s="313" t="s">
        <v>84</v>
      </c>
      <c r="BH291" s="282" t="str">
        <f t="shared" si="20"/>
        <v>nincs</v>
      </c>
      <c r="BI291" s="313" t="s">
        <v>84</v>
      </c>
      <c r="BJ291" s="282" t="str">
        <f t="shared" si="21"/>
        <v>nincs</v>
      </c>
      <c r="BK291" s="313" t="s">
        <v>84</v>
      </c>
      <c r="BL291" s="282" t="str">
        <f t="shared" si="22"/>
        <v>nincs</v>
      </c>
      <c r="BM291" s="313" t="s">
        <v>84</v>
      </c>
      <c r="BN291" s="282" t="str">
        <f t="shared" si="23"/>
        <v>nincs</v>
      </c>
      <c r="BO291" s="313" t="s">
        <v>84</v>
      </c>
      <c r="BP291" s="282" t="str">
        <f t="shared" ref="BP291:BP296" si="42">IF(BO291="nincs","nincs",ROUND(BO291/1.27,0))</f>
        <v>nincs</v>
      </c>
      <c r="BQ291" s="313" t="s">
        <v>84</v>
      </c>
      <c r="BR291" s="282" t="str">
        <f t="shared" si="24"/>
        <v>nincs</v>
      </c>
      <c r="BS291" s="313" t="s">
        <v>84</v>
      </c>
      <c r="BT291" s="282" t="str">
        <f t="shared" si="25"/>
        <v>nincs</v>
      </c>
      <c r="BU291" s="313" t="s">
        <v>84</v>
      </c>
      <c r="BV291" s="282" t="str">
        <f t="shared" si="26"/>
        <v>nincs</v>
      </c>
      <c r="BW291" s="313" t="s">
        <v>84</v>
      </c>
      <c r="BX291" s="282" t="str">
        <f t="shared" si="27"/>
        <v>nincs</v>
      </c>
      <c r="BZ291" s="313" t="s">
        <v>84</v>
      </c>
      <c r="CA291" s="282" t="str">
        <f t="shared" si="28"/>
        <v>nincs</v>
      </c>
      <c r="CB291" s="313" t="s">
        <v>84</v>
      </c>
      <c r="CC291" s="282" t="str">
        <f t="shared" si="29"/>
        <v>nincs</v>
      </c>
      <c r="CD291" s="313" t="s">
        <v>84</v>
      </c>
      <c r="CE291" s="282" t="str">
        <f t="shared" si="30"/>
        <v>nincs</v>
      </c>
      <c r="CF291" s="313" t="s">
        <v>84</v>
      </c>
      <c r="CG291" s="282" t="str">
        <f t="shared" si="31"/>
        <v>nincs</v>
      </c>
      <c r="CH291" s="313" t="s">
        <v>84</v>
      </c>
      <c r="CI291" s="282" t="str">
        <f t="shared" si="32"/>
        <v>nincs</v>
      </c>
      <c r="CJ291" s="313" t="s">
        <v>84</v>
      </c>
      <c r="CK291" s="282" t="str">
        <f t="shared" si="33"/>
        <v>nincs</v>
      </c>
      <c r="CL291" s="313" t="s">
        <v>84</v>
      </c>
      <c r="CM291" s="282" t="str">
        <f t="shared" si="34"/>
        <v>nincs</v>
      </c>
      <c r="CN291" s="313" t="s">
        <v>84</v>
      </c>
      <c r="CO291" s="282" t="str">
        <f t="shared" si="35"/>
        <v>nincs</v>
      </c>
      <c r="CP291" s="313" t="s">
        <v>84</v>
      </c>
      <c r="CQ291" s="282" t="str">
        <f t="shared" si="36"/>
        <v>nincs</v>
      </c>
    </row>
    <row r="292" spans="1:95" s="56" customFormat="1" x14ac:dyDescent="0.3">
      <c r="A292" s="66">
        <v>5</v>
      </c>
      <c r="B292" s="71" t="s">
        <v>20</v>
      </c>
      <c r="C292" s="199" t="s">
        <v>84</v>
      </c>
      <c r="D292" s="199" t="s">
        <v>84</v>
      </c>
      <c r="E292" s="199" t="s">
        <v>84</v>
      </c>
      <c r="F292" s="199" t="s">
        <v>84</v>
      </c>
      <c r="G292" s="112">
        <f t="shared" si="37"/>
        <v>65600</v>
      </c>
      <c r="H292" s="255">
        <v>497000</v>
      </c>
      <c r="I292" s="255">
        <v>382900</v>
      </c>
      <c r="J292" s="255">
        <v>434400</v>
      </c>
      <c r="K292" s="280">
        <v>346500</v>
      </c>
      <c r="L292" s="280">
        <v>398000</v>
      </c>
      <c r="M292" s="280">
        <v>346500</v>
      </c>
      <c r="N292" s="280">
        <f t="shared" si="38"/>
        <v>398000</v>
      </c>
      <c r="O292" s="280">
        <v>437200</v>
      </c>
      <c r="P292" s="255">
        <v>399600</v>
      </c>
      <c r="Q292" s="255">
        <v>451100</v>
      </c>
      <c r="R292" s="255" t="s">
        <v>84</v>
      </c>
      <c r="S292" s="192" t="s">
        <v>89</v>
      </c>
      <c r="T292" s="193" t="s">
        <v>61</v>
      </c>
      <c r="U292" s="192">
        <v>3200</v>
      </c>
      <c r="V292" s="192">
        <v>1</v>
      </c>
      <c r="W292" s="217">
        <f t="shared" si="39"/>
        <v>123200</v>
      </c>
      <c r="X292" s="192">
        <v>2250</v>
      </c>
      <c r="Y292" s="192">
        <v>2125</v>
      </c>
      <c r="Z292" s="192" t="s">
        <v>91</v>
      </c>
      <c r="AA292" s="192">
        <v>100</v>
      </c>
      <c r="AB292" s="192">
        <v>125</v>
      </c>
      <c r="AC292" s="217">
        <f t="shared" si="41"/>
        <v>65000</v>
      </c>
      <c r="AD292" s="192">
        <v>0</v>
      </c>
      <c r="AE292" s="197" t="s">
        <v>84</v>
      </c>
      <c r="AF292" s="216">
        <f t="shared" si="13"/>
        <v>43100</v>
      </c>
      <c r="AG292" s="224">
        <f t="shared" ca="1" si="14"/>
        <v>471100</v>
      </c>
      <c r="AH292" s="224">
        <f t="shared" ca="1" si="15"/>
        <v>544466.52380952379</v>
      </c>
      <c r="AI292" s="216">
        <f t="shared" si="16"/>
        <v>104400</v>
      </c>
      <c r="AJ292" s="198">
        <v>4</v>
      </c>
      <c r="AK292" s="198" t="s">
        <v>244</v>
      </c>
      <c r="AL292" s="216">
        <f t="shared" si="17"/>
        <v>123200</v>
      </c>
      <c r="AM292" s="216">
        <f t="shared" si="18"/>
        <v>166300</v>
      </c>
      <c r="AN292" s="230" t="str">
        <f t="shared" ca="1" si="40"/>
        <v>nincs</v>
      </c>
      <c r="AO292" s="230" t="str">
        <f t="shared" ca="1" si="19"/>
        <v>nincs</v>
      </c>
      <c r="AP292" s="230" t="str">
        <f t="shared" ca="1" si="19"/>
        <v>nincs</v>
      </c>
      <c r="AQ292" s="230" t="str">
        <f t="shared" ca="1" si="19"/>
        <v>nincs</v>
      </c>
      <c r="AR292" s="230" t="str">
        <f t="shared" ca="1" si="19"/>
        <v>nincs</v>
      </c>
      <c r="AS292" s="230" t="str">
        <f t="shared" ca="1" si="19"/>
        <v>nincs</v>
      </c>
      <c r="AT292" s="230" t="str">
        <f t="shared" ca="1" si="19"/>
        <v>nincs</v>
      </c>
      <c r="AU292" s="230" t="str">
        <f t="shared" ca="1" si="19"/>
        <v>nincs</v>
      </c>
      <c r="AV292" s="230" t="str">
        <f t="shared" ca="1" si="19"/>
        <v>nincs</v>
      </c>
      <c r="AW292" s="230" t="str">
        <f t="shared" ca="1" si="19"/>
        <v>nincs</v>
      </c>
      <c r="AX292" s="230" t="str">
        <f t="shared" ca="1" si="19"/>
        <v>nincs</v>
      </c>
      <c r="AY292" s="230" t="str">
        <f t="shared" ca="1" si="19"/>
        <v>nincs</v>
      </c>
      <c r="AZ292" s="230" t="str">
        <f t="shared" ca="1" si="19"/>
        <v>nincs</v>
      </c>
      <c r="BA292" s="230" t="str">
        <f t="shared" ca="1" si="19"/>
        <v>nincs</v>
      </c>
      <c r="BB292" s="230" t="str">
        <f t="shared" ca="1" si="19"/>
        <v>nincs</v>
      </c>
      <c r="BC292" s="230" t="str">
        <f t="shared" ca="1" si="19"/>
        <v>nincs</v>
      </c>
      <c r="BD292" s="230" t="str">
        <f t="shared" ca="1" si="19"/>
        <v>nincs</v>
      </c>
      <c r="BE292" s="230" t="str">
        <f t="shared" ca="1" si="19"/>
        <v>nincs</v>
      </c>
      <c r="BG292" s="313" t="s">
        <v>84</v>
      </c>
      <c r="BH292" s="282" t="str">
        <f t="shared" si="20"/>
        <v>nincs</v>
      </c>
      <c r="BI292" s="313" t="s">
        <v>84</v>
      </c>
      <c r="BJ292" s="282" t="str">
        <f t="shared" si="21"/>
        <v>nincs</v>
      </c>
      <c r="BK292" s="313" t="s">
        <v>84</v>
      </c>
      <c r="BL292" s="282" t="str">
        <f t="shared" si="22"/>
        <v>nincs</v>
      </c>
      <c r="BM292" s="313" t="s">
        <v>84</v>
      </c>
      <c r="BN292" s="282" t="str">
        <f t="shared" si="23"/>
        <v>nincs</v>
      </c>
      <c r="BO292" s="313" t="s">
        <v>84</v>
      </c>
      <c r="BP292" s="282" t="str">
        <f t="shared" si="42"/>
        <v>nincs</v>
      </c>
      <c r="BQ292" s="313" t="s">
        <v>84</v>
      </c>
      <c r="BR292" s="282" t="str">
        <f t="shared" si="24"/>
        <v>nincs</v>
      </c>
      <c r="BS292" s="313" t="s">
        <v>84</v>
      </c>
      <c r="BT292" s="282" t="str">
        <f t="shared" si="25"/>
        <v>nincs</v>
      </c>
      <c r="BU292" s="313" t="s">
        <v>84</v>
      </c>
      <c r="BV292" s="282" t="str">
        <f t="shared" si="26"/>
        <v>nincs</v>
      </c>
      <c r="BW292" s="313" t="s">
        <v>84</v>
      </c>
      <c r="BX292" s="282" t="str">
        <f t="shared" si="27"/>
        <v>nincs</v>
      </c>
      <c r="BZ292" s="313" t="s">
        <v>84</v>
      </c>
      <c r="CA292" s="282" t="str">
        <f t="shared" si="28"/>
        <v>nincs</v>
      </c>
      <c r="CB292" s="313" t="s">
        <v>84</v>
      </c>
      <c r="CC292" s="282" t="str">
        <f t="shared" si="29"/>
        <v>nincs</v>
      </c>
      <c r="CD292" s="313" t="s">
        <v>84</v>
      </c>
      <c r="CE292" s="282" t="str">
        <f t="shared" si="30"/>
        <v>nincs</v>
      </c>
      <c r="CF292" s="313" t="s">
        <v>84</v>
      </c>
      <c r="CG292" s="282" t="str">
        <f t="shared" si="31"/>
        <v>nincs</v>
      </c>
      <c r="CH292" s="313" t="s">
        <v>84</v>
      </c>
      <c r="CI292" s="282" t="str">
        <f t="shared" si="32"/>
        <v>nincs</v>
      </c>
      <c r="CJ292" s="313" t="s">
        <v>84</v>
      </c>
      <c r="CK292" s="282" t="str">
        <f t="shared" si="33"/>
        <v>nincs</v>
      </c>
      <c r="CL292" s="313" t="s">
        <v>84</v>
      </c>
      <c r="CM292" s="282" t="str">
        <f t="shared" si="34"/>
        <v>nincs</v>
      </c>
      <c r="CN292" s="313" t="s">
        <v>84</v>
      </c>
      <c r="CO292" s="282" t="str">
        <f t="shared" si="35"/>
        <v>nincs</v>
      </c>
      <c r="CP292" s="313" t="s">
        <v>84</v>
      </c>
      <c r="CQ292" s="282" t="str">
        <f t="shared" si="36"/>
        <v>nincs</v>
      </c>
    </row>
    <row r="293" spans="1:95" x14ac:dyDescent="0.3">
      <c r="A293" s="68">
        <v>6</v>
      </c>
      <c r="B293" s="69" t="s">
        <v>77</v>
      </c>
      <c r="C293" s="199" t="s">
        <v>84</v>
      </c>
      <c r="D293" s="199" t="s">
        <v>84</v>
      </c>
      <c r="E293" s="199" t="s">
        <v>84</v>
      </c>
      <c r="F293" s="199" t="s">
        <v>84</v>
      </c>
      <c r="G293" s="112">
        <f t="shared" si="37"/>
        <v>65600</v>
      </c>
      <c r="H293" s="255">
        <v>489500</v>
      </c>
      <c r="I293" s="255">
        <v>371600</v>
      </c>
      <c r="J293" s="255">
        <v>420300</v>
      </c>
      <c r="K293" s="280">
        <v>336000</v>
      </c>
      <c r="L293" s="280">
        <v>384700</v>
      </c>
      <c r="M293" s="280">
        <v>336000</v>
      </c>
      <c r="N293" s="280">
        <f t="shared" si="38"/>
        <v>384700</v>
      </c>
      <c r="O293" s="280">
        <v>429600</v>
      </c>
      <c r="P293" s="255">
        <v>388300</v>
      </c>
      <c r="Q293" s="255">
        <v>437000</v>
      </c>
      <c r="R293" s="255" t="s">
        <v>84</v>
      </c>
      <c r="S293" s="192" t="s">
        <v>89</v>
      </c>
      <c r="T293" s="193" t="s">
        <v>61</v>
      </c>
      <c r="U293" s="192">
        <v>3200</v>
      </c>
      <c r="V293" s="192">
        <v>1</v>
      </c>
      <c r="W293" s="217">
        <f t="shared" si="39"/>
        <v>123200</v>
      </c>
      <c r="X293" s="192">
        <v>2315</v>
      </c>
      <c r="Y293" s="192">
        <v>1955</v>
      </c>
      <c r="Z293" s="192" t="s">
        <v>91</v>
      </c>
      <c r="AA293" s="192">
        <v>100</v>
      </c>
      <c r="AB293" s="192">
        <v>125</v>
      </c>
      <c r="AC293" s="217">
        <f t="shared" si="41"/>
        <v>65000</v>
      </c>
      <c r="AD293" s="192">
        <v>0</v>
      </c>
      <c r="AE293" s="197" t="s">
        <v>84</v>
      </c>
      <c r="AF293" s="216">
        <f t="shared" si="13"/>
        <v>43100</v>
      </c>
      <c r="AG293" s="224">
        <f t="shared" ca="1" si="14"/>
        <v>471100</v>
      </c>
      <c r="AH293" s="224">
        <f t="shared" ca="1" si="15"/>
        <v>544466.52380952379</v>
      </c>
      <c r="AI293" s="216">
        <f t="shared" si="16"/>
        <v>104400</v>
      </c>
      <c r="AJ293" s="223">
        <v>4</v>
      </c>
      <c r="AK293" s="198" t="s">
        <v>244</v>
      </c>
      <c r="AL293" s="216">
        <f t="shared" si="17"/>
        <v>123200</v>
      </c>
      <c r="AM293" s="216">
        <f t="shared" si="18"/>
        <v>166300</v>
      </c>
      <c r="AN293" s="230" t="str">
        <f t="shared" ca="1" si="40"/>
        <v>nincs</v>
      </c>
      <c r="AO293" s="230" t="str">
        <f t="shared" ca="1" si="19"/>
        <v>nincs</v>
      </c>
      <c r="AP293" s="230" t="str">
        <f t="shared" ca="1" si="19"/>
        <v>nincs</v>
      </c>
      <c r="AQ293" s="230" t="str">
        <f t="shared" ca="1" si="19"/>
        <v>nincs</v>
      </c>
      <c r="AR293" s="230" t="str">
        <f t="shared" ca="1" si="19"/>
        <v>nincs</v>
      </c>
      <c r="AS293" s="230" t="str">
        <f t="shared" ca="1" si="19"/>
        <v>nincs</v>
      </c>
      <c r="AT293" s="230" t="str">
        <f t="shared" ca="1" si="19"/>
        <v>nincs</v>
      </c>
      <c r="AU293" s="230" t="str">
        <f t="shared" ca="1" si="19"/>
        <v>nincs</v>
      </c>
      <c r="AV293" s="230" t="str">
        <f t="shared" ca="1" si="19"/>
        <v>nincs</v>
      </c>
      <c r="AW293" s="230" t="str">
        <f t="shared" ca="1" si="19"/>
        <v>nincs</v>
      </c>
      <c r="AX293" s="230" t="str">
        <f t="shared" ca="1" si="19"/>
        <v>nincs</v>
      </c>
      <c r="AY293" s="230" t="str">
        <f t="shared" ca="1" si="19"/>
        <v>nincs</v>
      </c>
      <c r="AZ293" s="230" t="str">
        <f t="shared" ca="1" si="19"/>
        <v>nincs</v>
      </c>
      <c r="BA293" s="230" t="str">
        <f t="shared" ca="1" si="19"/>
        <v>nincs</v>
      </c>
      <c r="BB293" s="230" t="str">
        <f t="shared" ca="1" si="19"/>
        <v>nincs</v>
      </c>
      <c r="BC293" s="230" t="str">
        <f t="shared" ca="1" si="19"/>
        <v>nincs</v>
      </c>
      <c r="BD293" s="230" t="str">
        <f t="shared" ca="1" si="19"/>
        <v>nincs</v>
      </c>
      <c r="BE293" s="230" t="str">
        <f t="shared" ca="1" si="19"/>
        <v>nincs</v>
      </c>
      <c r="BG293" s="313" t="s">
        <v>84</v>
      </c>
      <c r="BH293" s="282" t="str">
        <f t="shared" si="20"/>
        <v>nincs</v>
      </c>
      <c r="BI293" s="313" t="s">
        <v>84</v>
      </c>
      <c r="BJ293" s="282" t="str">
        <f t="shared" si="21"/>
        <v>nincs</v>
      </c>
      <c r="BK293" s="313" t="s">
        <v>84</v>
      </c>
      <c r="BL293" s="282" t="str">
        <f t="shared" si="22"/>
        <v>nincs</v>
      </c>
      <c r="BM293" s="313" t="s">
        <v>84</v>
      </c>
      <c r="BN293" s="282" t="str">
        <f t="shared" si="23"/>
        <v>nincs</v>
      </c>
      <c r="BO293" s="313" t="s">
        <v>84</v>
      </c>
      <c r="BP293" s="282" t="str">
        <f t="shared" si="42"/>
        <v>nincs</v>
      </c>
      <c r="BQ293" s="313" t="s">
        <v>84</v>
      </c>
      <c r="BR293" s="282" t="str">
        <f t="shared" si="24"/>
        <v>nincs</v>
      </c>
      <c r="BS293" s="313" t="s">
        <v>84</v>
      </c>
      <c r="BT293" s="282" t="str">
        <f t="shared" si="25"/>
        <v>nincs</v>
      </c>
      <c r="BU293" s="313" t="s">
        <v>84</v>
      </c>
      <c r="BV293" s="282" t="str">
        <f t="shared" si="26"/>
        <v>nincs</v>
      </c>
      <c r="BW293" s="313" t="s">
        <v>84</v>
      </c>
      <c r="BX293" s="282" t="str">
        <f t="shared" si="27"/>
        <v>nincs</v>
      </c>
      <c r="BZ293" s="313" t="s">
        <v>84</v>
      </c>
      <c r="CA293" s="282" t="str">
        <f t="shared" si="28"/>
        <v>nincs</v>
      </c>
      <c r="CB293" s="313" t="s">
        <v>84</v>
      </c>
      <c r="CC293" s="282" t="str">
        <f t="shared" si="29"/>
        <v>nincs</v>
      </c>
      <c r="CD293" s="313" t="s">
        <v>84</v>
      </c>
      <c r="CE293" s="282" t="str">
        <f t="shared" si="30"/>
        <v>nincs</v>
      </c>
      <c r="CF293" s="313" t="s">
        <v>84</v>
      </c>
      <c r="CG293" s="282" t="str">
        <f t="shared" si="31"/>
        <v>nincs</v>
      </c>
      <c r="CH293" s="313" t="s">
        <v>84</v>
      </c>
      <c r="CI293" s="282" t="str">
        <f t="shared" si="32"/>
        <v>nincs</v>
      </c>
      <c r="CJ293" s="313" t="s">
        <v>84</v>
      </c>
      <c r="CK293" s="282" t="str">
        <f t="shared" si="33"/>
        <v>nincs</v>
      </c>
      <c r="CL293" s="313" t="s">
        <v>84</v>
      </c>
      <c r="CM293" s="282" t="str">
        <f t="shared" si="34"/>
        <v>nincs</v>
      </c>
      <c r="CN293" s="313" t="s">
        <v>84</v>
      </c>
      <c r="CO293" s="282" t="str">
        <f t="shared" si="35"/>
        <v>nincs</v>
      </c>
      <c r="CP293" s="313" t="s">
        <v>84</v>
      </c>
      <c r="CQ293" s="282" t="str">
        <f t="shared" si="36"/>
        <v>nincs</v>
      </c>
    </row>
    <row r="294" spans="1:95" x14ac:dyDescent="0.3">
      <c r="A294" s="66">
        <v>7</v>
      </c>
      <c r="B294" s="69" t="s">
        <v>464</v>
      </c>
      <c r="C294" s="199" t="s">
        <v>84</v>
      </c>
      <c r="D294" s="199" t="s">
        <v>84</v>
      </c>
      <c r="E294" s="199" t="s">
        <v>84</v>
      </c>
      <c r="F294" s="199" t="s">
        <v>84</v>
      </c>
      <c r="G294" s="112">
        <f t="shared" si="37"/>
        <v>65600</v>
      </c>
      <c r="H294" s="255">
        <v>489300</v>
      </c>
      <c r="I294" s="255">
        <v>371900</v>
      </c>
      <c r="J294" s="255">
        <v>423700</v>
      </c>
      <c r="K294" s="280">
        <v>335500</v>
      </c>
      <c r="L294" s="280">
        <v>387300</v>
      </c>
      <c r="M294" s="280">
        <v>335500</v>
      </c>
      <c r="N294" s="280">
        <f t="shared" si="38"/>
        <v>387300</v>
      </c>
      <c r="O294" s="280">
        <v>430100</v>
      </c>
      <c r="P294" s="255">
        <v>389100</v>
      </c>
      <c r="Q294" s="255">
        <v>550800</v>
      </c>
      <c r="R294" s="255" t="s">
        <v>84</v>
      </c>
      <c r="S294" s="192" t="s">
        <v>89</v>
      </c>
      <c r="T294" s="193" t="s">
        <v>61</v>
      </c>
      <c r="U294" s="192">
        <v>3200</v>
      </c>
      <c r="V294" s="192">
        <v>1</v>
      </c>
      <c r="W294" s="217">
        <f t="shared" si="39"/>
        <v>123200</v>
      </c>
      <c r="X294" s="192">
        <v>2315</v>
      </c>
      <c r="Y294" s="192">
        <v>2080</v>
      </c>
      <c r="Z294" s="192" t="s">
        <v>91</v>
      </c>
      <c r="AA294" s="192">
        <v>100</v>
      </c>
      <c r="AB294" s="192">
        <v>125</v>
      </c>
      <c r="AC294" s="217">
        <f t="shared" si="41"/>
        <v>65000</v>
      </c>
      <c r="AD294" s="192">
        <v>0</v>
      </c>
      <c r="AE294" s="197" t="s">
        <v>84</v>
      </c>
      <c r="AF294" s="216">
        <f t="shared" si="13"/>
        <v>43100</v>
      </c>
      <c r="AG294" s="224">
        <f t="shared" ca="1" si="14"/>
        <v>471100</v>
      </c>
      <c r="AH294" s="224">
        <f t="shared" ca="1" si="15"/>
        <v>544466.52380952379</v>
      </c>
      <c r="AI294" s="216">
        <f t="shared" si="16"/>
        <v>104400</v>
      </c>
      <c r="AJ294" s="223">
        <v>4</v>
      </c>
      <c r="AK294" s="198" t="s">
        <v>244</v>
      </c>
      <c r="AL294" s="216">
        <f t="shared" si="17"/>
        <v>123200</v>
      </c>
      <c r="AM294" s="216">
        <f t="shared" si="18"/>
        <v>166300</v>
      </c>
      <c r="AN294" s="230">
        <f t="shared" ca="1" si="40"/>
        <v>405400</v>
      </c>
      <c r="AO294" s="230">
        <f t="shared" ca="1" si="19"/>
        <v>319213</v>
      </c>
      <c r="AP294" s="230">
        <f t="shared" ca="1" si="19"/>
        <v>459900</v>
      </c>
      <c r="AQ294" s="230">
        <f t="shared" ca="1" si="19"/>
        <v>362126</v>
      </c>
      <c r="AR294" s="230">
        <f t="shared" ca="1" si="19"/>
        <v>437800</v>
      </c>
      <c r="AS294" s="230">
        <f t="shared" ca="1" si="19"/>
        <v>344724</v>
      </c>
      <c r="AT294" s="230">
        <f t="shared" ca="1" si="19"/>
        <v>492300</v>
      </c>
      <c r="AU294" s="230">
        <f t="shared" ca="1" si="19"/>
        <v>387638</v>
      </c>
      <c r="AV294" s="230">
        <f t="shared" ca="1" si="19"/>
        <v>496300</v>
      </c>
      <c r="AW294" s="230">
        <f t="shared" ca="1" si="19"/>
        <v>390787</v>
      </c>
      <c r="AX294" s="230">
        <f t="shared" ca="1" si="19"/>
        <v>550800</v>
      </c>
      <c r="AY294" s="230">
        <f t="shared" ca="1" si="19"/>
        <v>433701</v>
      </c>
      <c r="AZ294" s="230">
        <f t="shared" ca="1" si="19"/>
        <v>432600</v>
      </c>
      <c r="BA294" s="230">
        <f t="shared" ca="1" si="19"/>
        <v>340630</v>
      </c>
      <c r="BB294" s="230">
        <f t="shared" ca="1" si="19"/>
        <v>464900</v>
      </c>
      <c r="BC294" s="230">
        <f t="shared" ca="1" si="19"/>
        <v>366063</v>
      </c>
      <c r="BD294" s="230">
        <f t="shared" ca="1" si="19"/>
        <v>523500</v>
      </c>
      <c r="BE294" s="230">
        <f t="shared" ca="1" si="19"/>
        <v>412205</v>
      </c>
      <c r="BG294" s="313">
        <v>386100</v>
      </c>
      <c r="BH294" s="282">
        <f>IF(BG294="nincs","nincs",ROUND(BG294/1.27,0))</f>
        <v>304016</v>
      </c>
      <c r="BI294" s="313">
        <v>438200</v>
      </c>
      <c r="BJ294" s="282">
        <f t="shared" si="21"/>
        <v>345039</v>
      </c>
      <c r="BK294" s="313">
        <v>416900</v>
      </c>
      <c r="BL294" s="282">
        <f t="shared" si="22"/>
        <v>328268</v>
      </c>
      <c r="BM294" s="313">
        <v>469000</v>
      </c>
      <c r="BN294" s="282">
        <f t="shared" si="23"/>
        <v>369291</v>
      </c>
      <c r="BO294" s="313">
        <v>472700</v>
      </c>
      <c r="BP294" s="282">
        <f t="shared" si="42"/>
        <v>372205</v>
      </c>
      <c r="BQ294" s="313">
        <v>524800</v>
      </c>
      <c r="BR294" s="282">
        <f t="shared" si="24"/>
        <v>413228</v>
      </c>
      <c r="BS294" s="313">
        <v>412100</v>
      </c>
      <c r="BT294" s="282">
        <f t="shared" si="25"/>
        <v>324488</v>
      </c>
      <c r="BU294" s="313">
        <v>443000</v>
      </c>
      <c r="BV294" s="282">
        <f t="shared" si="26"/>
        <v>348819</v>
      </c>
      <c r="BW294" s="313">
        <v>498700</v>
      </c>
      <c r="BX294" s="282">
        <f t="shared" si="27"/>
        <v>392677</v>
      </c>
      <c r="BY294" s="119"/>
      <c r="BZ294" s="313">
        <v>405400</v>
      </c>
      <c r="CA294" s="282">
        <f t="shared" si="28"/>
        <v>319213</v>
      </c>
      <c r="CB294" s="313">
        <v>459900</v>
      </c>
      <c r="CC294" s="282">
        <f t="shared" si="29"/>
        <v>362126</v>
      </c>
      <c r="CD294" s="313">
        <v>437800</v>
      </c>
      <c r="CE294" s="282">
        <f t="shared" si="30"/>
        <v>344724</v>
      </c>
      <c r="CF294" s="313">
        <v>492300</v>
      </c>
      <c r="CG294" s="282">
        <f t="shared" si="31"/>
        <v>387638</v>
      </c>
      <c r="CH294" s="313">
        <v>496300</v>
      </c>
      <c r="CI294" s="282">
        <f t="shared" si="32"/>
        <v>390787</v>
      </c>
      <c r="CJ294" s="313">
        <v>550800</v>
      </c>
      <c r="CK294" s="282">
        <f t="shared" si="33"/>
        <v>433701</v>
      </c>
      <c r="CL294" s="313">
        <v>432600</v>
      </c>
      <c r="CM294" s="282">
        <f t="shared" si="34"/>
        <v>340630</v>
      </c>
      <c r="CN294" s="313">
        <v>464900</v>
      </c>
      <c r="CO294" s="282">
        <f t="shared" si="35"/>
        <v>366063</v>
      </c>
      <c r="CP294" s="313">
        <v>523500</v>
      </c>
      <c r="CQ294" s="282">
        <f t="shared" si="36"/>
        <v>412205</v>
      </c>
    </row>
    <row r="295" spans="1:95" x14ac:dyDescent="0.3">
      <c r="A295" s="68">
        <v>8</v>
      </c>
      <c r="B295" s="69" t="s">
        <v>78</v>
      </c>
      <c r="C295" s="199" t="s">
        <v>84</v>
      </c>
      <c r="D295" s="199" t="s">
        <v>84</v>
      </c>
      <c r="E295" s="199" t="s">
        <v>84</v>
      </c>
      <c r="F295" s="199" t="s">
        <v>84</v>
      </c>
      <c r="G295" s="112">
        <f t="shared" si="37"/>
        <v>65600</v>
      </c>
      <c r="H295" s="255">
        <v>503600</v>
      </c>
      <c r="I295" s="255">
        <v>393200</v>
      </c>
      <c r="J295" s="255">
        <v>448300</v>
      </c>
      <c r="K295" s="280">
        <v>355500</v>
      </c>
      <c r="L295" s="280">
        <v>410600</v>
      </c>
      <c r="M295" s="280">
        <v>355500</v>
      </c>
      <c r="N295" s="280">
        <f t="shared" si="38"/>
        <v>410600</v>
      </c>
      <c r="O295" s="280">
        <v>445700</v>
      </c>
      <c r="P295" s="255">
        <v>405700</v>
      </c>
      <c r="Q295" s="255">
        <v>460800</v>
      </c>
      <c r="R295" s="255" t="s">
        <v>84</v>
      </c>
      <c r="S295" s="192" t="s">
        <v>89</v>
      </c>
      <c r="T295" s="193" t="s">
        <v>61</v>
      </c>
      <c r="U295" s="192">
        <v>3200</v>
      </c>
      <c r="V295" s="192">
        <v>1</v>
      </c>
      <c r="W295" s="217">
        <f t="shared" si="39"/>
        <v>123200</v>
      </c>
      <c r="X295" s="192">
        <v>2315</v>
      </c>
      <c r="Y295" s="192">
        <v>2205</v>
      </c>
      <c r="Z295" s="192" t="s">
        <v>91</v>
      </c>
      <c r="AA295" s="192">
        <v>100</v>
      </c>
      <c r="AB295" s="192">
        <v>125</v>
      </c>
      <c r="AC295" s="217">
        <f t="shared" si="41"/>
        <v>65000</v>
      </c>
      <c r="AD295" s="192">
        <v>0</v>
      </c>
      <c r="AE295" s="197" t="s">
        <v>84</v>
      </c>
      <c r="AF295" s="216">
        <f t="shared" si="13"/>
        <v>43100</v>
      </c>
      <c r="AG295" s="224">
        <f t="shared" ca="1" si="14"/>
        <v>471100</v>
      </c>
      <c r="AH295" s="224">
        <f t="shared" ca="1" si="15"/>
        <v>544466.52380952379</v>
      </c>
      <c r="AI295" s="216">
        <f t="shared" si="16"/>
        <v>104400</v>
      </c>
      <c r="AJ295" s="223">
        <v>4</v>
      </c>
      <c r="AK295" s="198" t="s">
        <v>244</v>
      </c>
      <c r="AL295" s="216">
        <f t="shared" si="17"/>
        <v>123200</v>
      </c>
      <c r="AM295" s="216">
        <f t="shared" si="18"/>
        <v>166300</v>
      </c>
      <c r="AN295" s="230" t="str">
        <f t="shared" ref="AN295:AN358" ca="1" si="43">IF($BZ$279&lt;=TODAY(),BZ295,BG295)</f>
        <v>nincs</v>
      </c>
      <c r="AO295" s="230" t="str">
        <f t="shared" ref="AO295:AO358" ca="1" si="44">IF($BZ$279&lt;=TODAY(),CA295,BH295)</f>
        <v>nincs</v>
      </c>
      <c r="AP295" s="230" t="str">
        <f t="shared" ref="AP295:AP358" ca="1" si="45">IF($BZ$279&lt;=TODAY(),CB295,BI295)</f>
        <v>nincs</v>
      </c>
      <c r="AQ295" s="230" t="str">
        <f t="shared" ref="AQ295:AQ358" ca="1" si="46">IF($BZ$279&lt;=TODAY(),CC295,BJ295)</f>
        <v>nincs</v>
      </c>
      <c r="AR295" s="230" t="str">
        <f t="shared" ref="AR295:AR358" ca="1" si="47">IF($BZ$279&lt;=TODAY(),CD295,BK295)</f>
        <v>nincs</v>
      </c>
      <c r="AS295" s="230" t="str">
        <f t="shared" ref="AS295:AS358" ca="1" si="48">IF($BZ$279&lt;=TODAY(),CE295,BL295)</f>
        <v>nincs</v>
      </c>
      <c r="AT295" s="230" t="str">
        <f t="shared" ref="AT295:AT358" ca="1" si="49">IF($BZ$279&lt;=TODAY(),CF295,BM295)</f>
        <v>nincs</v>
      </c>
      <c r="AU295" s="230" t="str">
        <f t="shared" ref="AU295:AU358" ca="1" si="50">IF($BZ$279&lt;=TODAY(),CG295,BN295)</f>
        <v>nincs</v>
      </c>
      <c r="AV295" s="230" t="str">
        <f t="shared" ref="AV295:AV358" ca="1" si="51">IF($BZ$279&lt;=TODAY(),CH295,BO295)</f>
        <v>nincs</v>
      </c>
      <c r="AW295" s="230" t="str">
        <f t="shared" ref="AW295:AW358" ca="1" si="52">IF($BZ$279&lt;=TODAY(),CI295,BP295)</f>
        <v>nincs</v>
      </c>
      <c r="AX295" s="230" t="str">
        <f t="shared" ref="AX295:AX358" ca="1" si="53">IF($BZ$279&lt;=TODAY(),CJ295,BQ295)</f>
        <v>nincs</v>
      </c>
      <c r="AY295" s="230" t="str">
        <f t="shared" ref="AY295:AY358" ca="1" si="54">IF($BZ$279&lt;=TODAY(),CK295,BR295)</f>
        <v>nincs</v>
      </c>
      <c r="AZ295" s="230" t="str">
        <f t="shared" ref="AZ295:AZ358" ca="1" si="55">IF($BZ$279&lt;=TODAY(),CL295,BS295)</f>
        <v>nincs</v>
      </c>
      <c r="BA295" s="230" t="str">
        <f t="shared" ref="BA295:BA358" ca="1" si="56">IF($BZ$279&lt;=TODAY(),CM295,BT295)</f>
        <v>nincs</v>
      </c>
      <c r="BB295" s="230" t="str">
        <f t="shared" ref="BB295:BB358" ca="1" si="57">IF($BZ$279&lt;=TODAY(),CN295,BU295)</f>
        <v>nincs</v>
      </c>
      <c r="BC295" s="230" t="str">
        <f t="shared" ref="BC295:BC358" ca="1" si="58">IF($BZ$279&lt;=TODAY(),CO295,BV295)</f>
        <v>nincs</v>
      </c>
      <c r="BD295" s="230" t="str">
        <f t="shared" ref="BD295:BD358" ca="1" si="59">IF($BZ$279&lt;=TODAY(),CP295,BW295)</f>
        <v>nincs</v>
      </c>
      <c r="BE295" s="230" t="str">
        <f t="shared" ref="BE295:BE358" ca="1" si="60">IF($BZ$279&lt;=TODAY(),CQ295,BX295)</f>
        <v>nincs</v>
      </c>
      <c r="BG295" s="313" t="s">
        <v>84</v>
      </c>
      <c r="BH295" s="282" t="str">
        <f t="shared" ref="BH295:BH304" si="61">IF(BG295="nincs","nincs",ROUND(BG295/1.27,0))</f>
        <v>nincs</v>
      </c>
      <c r="BI295" s="313" t="s">
        <v>84</v>
      </c>
      <c r="BJ295" s="282" t="str">
        <f t="shared" si="21"/>
        <v>nincs</v>
      </c>
      <c r="BK295" s="313" t="s">
        <v>84</v>
      </c>
      <c r="BL295" s="282" t="str">
        <f t="shared" si="22"/>
        <v>nincs</v>
      </c>
      <c r="BM295" s="313" t="s">
        <v>84</v>
      </c>
      <c r="BN295" s="282" t="str">
        <f t="shared" si="23"/>
        <v>nincs</v>
      </c>
      <c r="BO295" s="313" t="s">
        <v>84</v>
      </c>
      <c r="BP295" s="282" t="str">
        <f t="shared" si="42"/>
        <v>nincs</v>
      </c>
      <c r="BQ295" s="313" t="s">
        <v>84</v>
      </c>
      <c r="BR295" s="282" t="str">
        <f t="shared" si="24"/>
        <v>nincs</v>
      </c>
      <c r="BS295" s="313" t="s">
        <v>84</v>
      </c>
      <c r="BT295" s="282" t="str">
        <f t="shared" si="25"/>
        <v>nincs</v>
      </c>
      <c r="BU295" s="313" t="s">
        <v>84</v>
      </c>
      <c r="BV295" s="282" t="str">
        <f t="shared" si="26"/>
        <v>nincs</v>
      </c>
      <c r="BW295" s="313" t="s">
        <v>84</v>
      </c>
      <c r="BX295" s="282" t="str">
        <f t="shared" si="27"/>
        <v>nincs</v>
      </c>
      <c r="BZ295" s="313" t="s">
        <v>84</v>
      </c>
      <c r="CA295" s="282" t="str">
        <f t="shared" si="28"/>
        <v>nincs</v>
      </c>
      <c r="CB295" s="313" t="s">
        <v>84</v>
      </c>
      <c r="CC295" s="282" t="str">
        <f t="shared" si="29"/>
        <v>nincs</v>
      </c>
      <c r="CD295" s="313" t="s">
        <v>84</v>
      </c>
      <c r="CE295" s="282" t="str">
        <f t="shared" si="30"/>
        <v>nincs</v>
      </c>
      <c r="CF295" s="313" t="s">
        <v>84</v>
      </c>
      <c r="CG295" s="282" t="str">
        <f t="shared" si="31"/>
        <v>nincs</v>
      </c>
      <c r="CH295" s="313" t="s">
        <v>84</v>
      </c>
      <c r="CI295" s="282" t="str">
        <f t="shared" si="32"/>
        <v>nincs</v>
      </c>
      <c r="CJ295" s="313" t="s">
        <v>84</v>
      </c>
      <c r="CK295" s="282" t="str">
        <f t="shared" si="33"/>
        <v>nincs</v>
      </c>
      <c r="CL295" s="313" t="s">
        <v>84</v>
      </c>
      <c r="CM295" s="282" t="str">
        <f t="shared" si="34"/>
        <v>nincs</v>
      </c>
      <c r="CN295" s="313" t="s">
        <v>84</v>
      </c>
      <c r="CO295" s="282" t="str">
        <f t="shared" si="35"/>
        <v>nincs</v>
      </c>
      <c r="CP295" s="313" t="s">
        <v>84</v>
      </c>
      <c r="CQ295" s="282" t="str">
        <f t="shared" si="36"/>
        <v>nincs</v>
      </c>
    </row>
    <row r="296" spans="1:95" s="56" customFormat="1" x14ac:dyDescent="0.3">
      <c r="A296" s="66">
        <v>9</v>
      </c>
      <c r="B296" s="71" t="s">
        <v>65</v>
      </c>
      <c r="C296" s="199" t="s">
        <v>84</v>
      </c>
      <c r="D296" s="199" t="s">
        <v>84</v>
      </c>
      <c r="E296" s="199" t="s">
        <v>84</v>
      </c>
      <c r="F296" s="199" t="s">
        <v>84</v>
      </c>
      <c r="G296" s="112">
        <f t="shared" si="37"/>
        <v>65600</v>
      </c>
      <c r="H296" s="255">
        <v>489300</v>
      </c>
      <c r="I296" s="255">
        <v>373400</v>
      </c>
      <c r="J296" s="255">
        <v>421400</v>
      </c>
      <c r="K296" s="280">
        <v>336500</v>
      </c>
      <c r="L296" s="280">
        <v>384400</v>
      </c>
      <c r="M296" s="280">
        <v>336500</v>
      </c>
      <c r="N296" s="280">
        <f t="shared" si="38"/>
        <v>384400</v>
      </c>
      <c r="O296" s="280">
        <v>429800</v>
      </c>
      <c r="P296" s="255">
        <v>388300</v>
      </c>
      <c r="Q296" s="255">
        <v>436200</v>
      </c>
      <c r="R296" s="255" t="s">
        <v>84</v>
      </c>
      <c r="S296" s="192" t="s">
        <v>89</v>
      </c>
      <c r="T296" s="193" t="s">
        <v>61</v>
      </c>
      <c r="U296" s="192">
        <v>3200</v>
      </c>
      <c r="V296" s="192">
        <v>1</v>
      </c>
      <c r="W296" s="217">
        <f t="shared" si="39"/>
        <v>123200</v>
      </c>
      <c r="X296" s="192">
        <v>2375</v>
      </c>
      <c r="Y296" s="192">
        <v>1875</v>
      </c>
      <c r="Z296" s="192" t="s">
        <v>91</v>
      </c>
      <c r="AA296" s="192">
        <v>100</v>
      </c>
      <c r="AB296" s="192">
        <v>125</v>
      </c>
      <c r="AC296" s="217">
        <f t="shared" si="41"/>
        <v>65000</v>
      </c>
      <c r="AD296" s="192">
        <v>0</v>
      </c>
      <c r="AE296" s="197" t="s">
        <v>84</v>
      </c>
      <c r="AF296" s="216">
        <f t="shared" si="13"/>
        <v>43100</v>
      </c>
      <c r="AG296" s="224">
        <f t="shared" ca="1" si="14"/>
        <v>471100</v>
      </c>
      <c r="AH296" s="224">
        <f t="shared" ca="1" si="15"/>
        <v>544466.52380952379</v>
      </c>
      <c r="AI296" s="216">
        <f t="shared" si="16"/>
        <v>104400</v>
      </c>
      <c r="AJ296" s="198">
        <v>4</v>
      </c>
      <c r="AK296" s="198" t="s">
        <v>244</v>
      </c>
      <c r="AL296" s="216">
        <f t="shared" si="17"/>
        <v>123200</v>
      </c>
      <c r="AM296" s="216">
        <f t="shared" si="18"/>
        <v>166300</v>
      </c>
      <c r="AN296" s="230" t="str">
        <f t="shared" ca="1" si="43"/>
        <v>nincs</v>
      </c>
      <c r="AO296" s="230" t="str">
        <f t="shared" ca="1" si="44"/>
        <v>nincs</v>
      </c>
      <c r="AP296" s="230" t="str">
        <f t="shared" ca="1" si="45"/>
        <v>nincs</v>
      </c>
      <c r="AQ296" s="230" t="str">
        <f t="shared" ca="1" si="46"/>
        <v>nincs</v>
      </c>
      <c r="AR296" s="230" t="str">
        <f t="shared" ca="1" si="47"/>
        <v>nincs</v>
      </c>
      <c r="AS296" s="230" t="str">
        <f t="shared" ca="1" si="48"/>
        <v>nincs</v>
      </c>
      <c r="AT296" s="230" t="str">
        <f t="shared" ca="1" si="49"/>
        <v>nincs</v>
      </c>
      <c r="AU296" s="230" t="str">
        <f t="shared" ca="1" si="50"/>
        <v>nincs</v>
      </c>
      <c r="AV296" s="230" t="str">
        <f t="shared" ca="1" si="51"/>
        <v>nincs</v>
      </c>
      <c r="AW296" s="230" t="str">
        <f t="shared" ca="1" si="52"/>
        <v>nincs</v>
      </c>
      <c r="AX296" s="230" t="str">
        <f t="shared" ca="1" si="53"/>
        <v>nincs</v>
      </c>
      <c r="AY296" s="230" t="str">
        <f t="shared" ca="1" si="54"/>
        <v>nincs</v>
      </c>
      <c r="AZ296" s="230" t="str">
        <f t="shared" ca="1" si="55"/>
        <v>nincs</v>
      </c>
      <c r="BA296" s="230" t="str">
        <f t="shared" ca="1" si="56"/>
        <v>nincs</v>
      </c>
      <c r="BB296" s="230" t="str">
        <f t="shared" ca="1" si="57"/>
        <v>nincs</v>
      </c>
      <c r="BC296" s="230" t="str">
        <f t="shared" ca="1" si="58"/>
        <v>nincs</v>
      </c>
      <c r="BD296" s="230" t="str">
        <f t="shared" ca="1" si="59"/>
        <v>nincs</v>
      </c>
      <c r="BE296" s="230" t="str">
        <f t="shared" ca="1" si="60"/>
        <v>nincs</v>
      </c>
      <c r="BG296" s="313" t="s">
        <v>84</v>
      </c>
      <c r="BH296" s="282" t="str">
        <f t="shared" si="61"/>
        <v>nincs</v>
      </c>
      <c r="BI296" s="313" t="s">
        <v>84</v>
      </c>
      <c r="BJ296" s="282" t="str">
        <f t="shared" si="21"/>
        <v>nincs</v>
      </c>
      <c r="BK296" s="313" t="s">
        <v>84</v>
      </c>
      <c r="BL296" s="282" t="str">
        <f t="shared" si="22"/>
        <v>nincs</v>
      </c>
      <c r="BM296" s="313" t="s">
        <v>84</v>
      </c>
      <c r="BN296" s="282" t="str">
        <f t="shared" si="23"/>
        <v>nincs</v>
      </c>
      <c r="BO296" s="313" t="s">
        <v>84</v>
      </c>
      <c r="BP296" s="282" t="str">
        <f t="shared" si="42"/>
        <v>nincs</v>
      </c>
      <c r="BQ296" s="313" t="s">
        <v>84</v>
      </c>
      <c r="BR296" s="282" t="str">
        <f t="shared" si="24"/>
        <v>nincs</v>
      </c>
      <c r="BS296" s="313" t="s">
        <v>84</v>
      </c>
      <c r="BT296" s="282" t="str">
        <f t="shared" si="25"/>
        <v>nincs</v>
      </c>
      <c r="BU296" s="313" t="s">
        <v>84</v>
      </c>
      <c r="BV296" s="282" t="str">
        <f t="shared" si="26"/>
        <v>nincs</v>
      </c>
      <c r="BW296" s="313" t="s">
        <v>84</v>
      </c>
      <c r="BX296" s="282" t="str">
        <f t="shared" si="27"/>
        <v>nincs</v>
      </c>
      <c r="BZ296" s="313" t="s">
        <v>84</v>
      </c>
      <c r="CA296" s="282" t="str">
        <f t="shared" si="28"/>
        <v>nincs</v>
      </c>
      <c r="CB296" s="313" t="s">
        <v>84</v>
      </c>
      <c r="CC296" s="282" t="str">
        <f t="shared" si="29"/>
        <v>nincs</v>
      </c>
      <c r="CD296" s="313" t="s">
        <v>84</v>
      </c>
      <c r="CE296" s="282" t="str">
        <f t="shared" si="30"/>
        <v>nincs</v>
      </c>
      <c r="CF296" s="313" t="s">
        <v>84</v>
      </c>
      <c r="CG296" s="282" t="str">
        <f t="shared" si="31"/>
        <v>nincs</v>
      </c>
      <c r="CH296" s="313" t="s">
        <v>84</v>
      </c>
      <c r="CI296" s="282" t="str">
        <f t="shared" si="32"/>
        <v>nincs</v>
      </c>
      <c r="CJ296" s="313" t="s">
        <v>84</v>
      </c>
      <c r="CK296" s="282" t="str">
        <f t="shared" si="33"/>
        <v>nincs</v>
      </c>
      <c r="CL296" s="313" t="s">
        <v>84</v>
      </c>
      <c r="CM296" s="282" t="str">
        <f t="shared" si="34"/>
        <v>nincs</v>
      </c>
      <c r="CN296" s="313" t="s">
        <v>84</v>
      </c>
      <c r="CO296" s="282" t="str">
        <f t="shared" si="35"/>
        <v>nincs</v>
      </c>
      <c r="CP296" s="313" t="s">
        <v>84</v>
      </c>
      <c r="CQ296" s="282" t="str">
        <f t="shared" si="36"/>
        <v>nincs</v>
      </c>
    </row>
    <row r="297" spans="1:95" s="56" customFormat="1" x14ac:dyDescent="0.3">
      <c r="A297" s="68">
        <v>10</v>
      </c>
      <c r="B297" s="71" t="s">
        <v>372</v>
      </c>
      <c r="C297" s="199" t="s">
        <v>84</v>
      </c>
      <c r="D297" s="199" t="s">
        <v>84</v>
      </c>
      <c r="E297" s="199" t="s">
        <v>84</v>
      </c>
      <c r="F297" s="199" t="s">
        <v>84</v>
      </c>
      <c r="G297" s="112">
        <f t="shared" si="37"/>
        <v>65600</v>
      </c>
      <c r="H297" s="255">
        <v>486500</v>
      </c>
      <c r="I297" s="255">
        <v>371600</v>
      </c>
      <c r="J297" s="255">
        <v>422900</v>
      </c>
      <c r="K297" s="280">
        <v>336000</v>
      </c>
      <c r="L297" s="280">
        <v>387300</v>
      </c>
      <c r="M297" s="280">
        <v>336000</v>
      </c>
      <c r="N297" s="280">
        <f t="shared" si="38"/>
        <v>387300</v>
      </c>
      <c r="O297" s="280">
        <v>429600</v>
      </c>
      <c r="P297" s="255">
        <v>388300</v>
      </c>
      <c r="Q297" s="255">
        <v>439600</v>
      </c>
      <c r="R297" s="255" t="s">
        <v>84</v>
      </c>
      <c r="S297" s="192" t="s">
        <v>89</v>
      </c>
      <c r="T297" s="193" t="s">
        <v>61</v>
      </c>
      <c r="U297" s="192">
        <v>3200</v>
      </c>
      <c r="V297" s="192">
        <v>1</v>
      </c>
      <c r="W297" s="217">
        <f t="shared" si="39"/>
        <v>123200</v>
      </c>
      <c r="X297" s="192">
        <v>2375</v>
      </c>
      <c r="Y297" s="192">
        <v>2000</v>
      </c>
      <c r="Z297" s="192" t="s">
        <v>91</v>
      </c>
      <c r="AA297" s="192">
        <v>100</v>
      </c>
      <c r="AB297" s="192">
        <v>125</v>
      </c>
      <c r="AC297" s="217">
        <f t="shared" si="41"/>
        <v>65000</v>
      </c>
      <c r="AD297" s="192">
        <v>0</v>
      </c>
      <c r="AE297" s="197" t="s">
        <v>84</v>
      </c>
      <c r="AF297" s="216">
        <f t="shared" si="13"/>
        <v>43100</v>
      </c>
      <c r="AG297" s="224">
        <f t="shared" ca="1" si="14"/>
        <v>471100</v>
      </c>
      <c r="AH297" s="224">
        <f t="shared" ca="1" si="15"/>
        <v>544466.52380952379</v>
      </c>
      <c r="AI297" s="216">
        <f t="shared" si="16"/>
        <v>104400</v>
      </c>
      <c r="AJ297" s="198">
        <v>4</v>
      </c>
      <c r="AK297" s="198" t="s">
        <v>244</v>
      </c>
      <c r="AL297" s="216">
        <f t="shared" si="17"/>
        <v>123200</v>
      </c>
      <c r="AM297" s="216">
        <f t="shared" si="18"/>
        <v>166300</v>
      </c>
      <c r="AN297" s="230">
        <f t="shared" ca="1" si="43"/>
        <v>404600</v>
      </c>
      <c r="AO297" s="230">
        <f t="shared" ca="1" si="44"/>
        <v>318583</v>
      </c>
      <c r="AP297" s="230">
        <f t="shared" ca="1" si="45"/>
        <v>459200</v>
      </c>
      <c r="AQ297" s="230">
        <f t="shared" ca="1" si="46"/>
        <v>361575</v>
      </c>
      <c r="AR297" s="230">
        <f t="shared" ca="1" si="47"/>
        <v>437000</v>
      </c>
      <c r="AS297" s="230">
        <f t="shared" ca="1" si="48"/>
        <v>344094</v>
      </c>
      <c r="AT297" s="230">
        <f t="shared" ca="1" si="49"/>
        <v>491600</v>
      </c>
      <c r="AU297" s="230">
        <f t="shared" ca="1" si="50"/>
        <v>387087</v>
      </c>
      <c r="AV297" s="230">
        <f t="shared" ca="1" si="51"/>
        <v>495600</v>
      </c>
      <c r="AW297" s="230">
        <f t="shared" ca="1" si="52"/>
        <v>390236</v>
      </c>
      <c r="AX297" s="230">
        <f t="shared" ca="1" si="53"/>
        <v>550200</v>
      </c>
      <c r="AY297" s="230">
        <f t="shared" ca="1" si="54"/>
        <v>433228</v>
      </c>
      <c r="AZ297" s="230">
        <f t="shared" ca="1" si="55"/>
        <v>431900</v>
      </c>
      <c r="BA297" s="230">
        <f t="shared" ca="1" si="56"/>
        <v>340079</v>
      </c>
      <c r="BB297" s="230">
        <f t="shared" ca="1" si="57"/>
        <v>464300</v>
      </c>
      <c r="BC297" s="230">
        <f t="shared" ca="1" si="58"/>
        <v>365591</v>
      </c>
      <c r="BD297" s="230">
        <f t="shared" ca="1" si="59"/>
        <v>522900</v>
      </c>
      <c r="BE297" s="230">
        <f t="shared" ca="1" si="60"/>
        <v>411732</v>
      </c>
      <c r="BG297" s="313">
        <v>385300</v>
      </c>
      <c r="BH297" s="282">
        <f t="shared" si="61"/>
        <v>303386</v>
      </c>
      <c r="BI297" s="313">
        <v>437300</v>
      </c>
      <c r="BJ297" s="282">
        <f t="shared" si="21"/>
        <v>344331</v>
      </c>
      <c r="BK297" s="313">
        <v>416200</v>
      </c>
      <c r="BL297" s="282">
        <f t="shared" si="22"/>
        <v>327717</v>
      </c>
      <c r="BM297" s="313">
        <v>468100</v>
      </c>
      <c r="BN297" s="282">
        <f t="shared" si="23"/>
        <v>368583</v>
      </c>
      <c r="BO297" s="313">
        <v>471900</v>
      </c>
      <c r="BP297" s="282">
        <f>IF(BO297="nincs","nincs",ROUND(BO297/1.27,0))</f>
        <v>371575</v>
      </c>
      <c r="BQ297" s="313">
        <v>523900</v>
      </c>
      <c r="BR297" s="282">
        <f t="shared" si="24"/>
        <v>412520</v>
      </c>
      <c r="BS297" s="313">
        <v>411400</v>
      </c>
      <c r="BT297" s="282">
        <f t="shared" si="25"/>
        <v>323937</v>
      </c>
      <c r="BU297" s="313">
        <v>442200</v>
      </c>
      <c r="BV297" s="282">
        <f t="shared" si="26"/>
        <v>348189</v>
      </c>
      <c r="BW297" s="313">
        <v>498000</v>
      </c>
      <c r="BX297" s="282">
        <f t="shared" si="27"/>
        <v>392126</v>
      </c>
      <c r="BZ297" s="313">
        <v>404600</v>
      </c>
      <c r="CA297" s="282">
        <f t="shared" si="28"/>
        <v>318583</v>
      </c>
      <c r="CB297" s="313">
        <v>459200</v>
      </c>
      <c r="CC297" s="282">
        <f t="shared" si="29"/>
        <v>361575</v>
      </c>
      <c r="CD297" s="313">
        <v>437000</v>
      </c>
      <c r="CE297" s="282">
        <f t="shared" si="30"/>
        <v>344094</v>
      </c>
      <c r="CF297" s="313">
        <v>491600</v>
      </c>
      <c r="CG297" s="282">
        <f t="shared" si="31"/>
        <v>387087</v>
      </c>
      <c r="CH297" s="313">
        <v>495600</v>
      </c>
      <c r="CI297" s="282">
        <f t="shared" si="32"/>
        <v>390236</v>
      </c>
      <c r="CJ297" s="313">
        <v>550200</v>
      </c>
      <c r="CK297" s="282">
        <f t="shared" si="33"/>
        <v>433228</v>
      </c>
      <c r="CL297" s="313">
        <v>431900</v>
      </c>
      <c r="CM297" s="282">
        <f t="shared" si="34"/>
        <v>340079</v>
      </c>
      <c r="CN297" s="313">
        <v>464300</v>
      </c>
      <c r="CO297" s="282">
        <f t="shared" si="35"/>
        <v>365591</v>
      </c>
      <c r="CP297" s="313">
        <v>522900</v>
      </c>
      <c r="CQ297" s="282">
        <f t="shared" si="36"/>
        <v>411732</v>
      </c>
    </row>
    <row r="298" spans="1:95" s="56" customFormat="1" x14ac:dyDescent="0.3">
      <c r="A298" s="66">
        <v>11</v>
      </c>
      <c r="B298" s="71" t="s">
        <v>141</v>
      </c>
      <c r="C298" s="199" t="s">
        <v>84</v>
      </c>
      <c r="D298" s="199" t="s">
        <v>84</v>
      </c>
      <c r="E298" s="199" t="s">
        <v>84</v>
      </c>
      <c r="F298" s="199" t="s">
        <v>84</v>
      </c>
      <c r="G298" s="112">
        <f t="shared" si="37"/>
        <v>65600</v>
      </c>
      <c r="H298" s="255" t="s">
        <v>84</v>
      </c>
      <c r="I298" s="255" t="s">
        <v>84</v>
      </c>
      <c r="J298" s="255" t="s">
        <v>84</v>
      </c>
      <c r="K298" s="280">
        <v>335500</v>
      </c>
      <c r="L298" s="280">
        <v>388500</v>
      </c>
      <c r="M298" s="280">
        <v>335500</v>
      </c>
      <c r="N298" s="280">
        <f t="shared" si="38"/>
        <v>388500</v>
      </c>
      <c r="O298" s="280" t="s">
        <v>84</v>
      </c>
      <c r="P298" s="255" t="s">
        <v>84</v>
      </c>
      <c r="Q298" s="255" t="s">
        <v>84</v>
      </c>
      <c r="R298" s="255" t="s">
        <v>84</v>
      </c>
      <c r="S298" s="192" t="s">
        <v>89</v>
      </c>
      <c r="T298" s="193" t="s">
        <v>61</v>
      </c>
      <c r="U298" s="192">
        <v>3200</v>
      </c>
      <c r="V298" s="192">
        <v>1</v>
      </c>
      <c r="W298" s="217">
        <f t="shared" si="39"/>
        <v>123200</v>
      </c>
      <c r="X298" s="192">
        <v>2375</v>
      </c>
      <c r="Y298" s="192">
        <v>2080</v>
      </c>
      <c r="Z298" s="192" t="s">
        <v>91</v>
      </c>
      <c r="AA298" s="192">
        <v>100</v>
      </c>
      <c r="AB298" s="192">
        <v>125</v>
      </c>
      <c r="AC298" s="217">
        <f t="shared" si="41"/>
        <v>65000</v>
      </c>
      <c r="AD298" s="192">
        <v>0</v>
      </c>
      <c r="AE298" s="197" t="s">
        <v>84</v>
      </c>
      <c r="AF298" s="216">
        <f t="shared" si="13"/>
        <v>43100</v>
      </c>
      <c r="AG298" s="224">
        <f t="shared" ca="1" si="14"/>
        <v>471100</v>
      </c>
      <c r="AH298" s="224">
        <f t="shared" ca="1" si="15"/>
        <v>544466.52380952379</v>
      </c>
      <c r="AI298" s="216">
        <f t="shared" si="16"/>
        <v>104400</v>
      </c>
      <c r="AJ298" s="198">
        <v>4</v>
      </c>
      <c r="AK298" s="198" t="s">
        <v>244</v>
      </c>
      <c r="AL298" s="216">
        <f t="shared" si="17"/>
        <v>123200</v>
      </c>
      <c r="AM298" s="216">
        <f t="shared" si="18"/>
        <v>166300</v>
      </c>
      <c r="AN298" s="230" t="str">
        <f t="shared" ca="1" si="43"/>
        <v>nincs</v>
      </c>
      <c r="AO298" s="230" t="str">
        <f t="shared" ca="1" si="44"/>
        <v>nincs</v>
      </c>
      <c r="AP298" s="230" t="str">
        <f t="shared" ca="1" si="45"/>
        <v>nincs</v>
      </c>
      <c r="AQ298" s="230" t="str">
        <f t="shared" ca="1" si="46"/>
        <v>nincs</v>
      </c>
      <c r="AR298" s="230" t="str">
        <f t="shared" ca="1" si="47"/>
        <v>nincs</v>
      </c>
      <c r="AS298" s="230" t="str">
        <f t="shared" ca="1" si="48"/>
        <v>nincs</v>
      </c>
      <c r="AT298" s="230" t="str">
        <f t="shared" ca="1" si="49"/>
        <v>nincs</v>
      </c>
      <c r="AU298" s="230" t="str">
        <f t="shared" ca="1" si="50"/>
        <v>nincs</v>
      </c>
      <c r="AV298" s="230" t="str">
        <f t="shared" ca="1" si="51"/>
        <v>nincs</v>
      </c>
      <c r="AW298" s="230" t="str">
        <f t="shared" ca="1" si="52"/>
        <v>nincs</v>
      </c>
      <c r="AX298" s="230" t="str">
        <f t="shared" ca="1" si="53"/>
        <v>nincs</v>
      </c>
      <c r="AY298" s="230" t="str">
        <f t="shared" ca="1" si="54"/>
        <v>nincs</v>
      </c>
      <c r="AZ298" s="230" t="str">
        <f t="shared" ca="1" si="55"/>
        <v>nincs</v>
      </c>
      <c r="BA298" s="230" t="str">
        <f t="shared" ca="1" si="56"/>
        <v>nincs</v>
      </c>
      <c r="BB298" s="230" t="str">
        <f t="shared" ca="1" si="57"/>
        <v>nincs</v>
      </c>
      <c r="BC298" s="230" t="str">
        <f t="shared" ca="1" si="58"/>
        <v>nincs</v>
      </c>
      <c r="BD298" s="230" t="str">
        <f t="shared" ca="1" si="59"/>
        <v>nincs</v>
      </c>
      <c r="BE298" s="230" t="str">
        <f t="shared" ca="1" si="60"/>
        <v>nincs</v>
      </c>
      <c r="BG298" s="313" t="s">
        <v>84</v>
      </c>
      <c r="BH298" s="282" t="str">
        <f t="shared" si="61"/>
        <v>nincs</v>
      </c>
      <c r="BI298" s="313" t="s">
        <v>84</v>
      </c>
      <c r="BJ298" s="282" t="str">
        <f t="shared" si="21"/>
        <v>nincs</v>
      </c>
      <c r="BK298" s="313" t="s">
        <v>84</v>
      </c>
      <c r="BL298" s="282" t="str">
        <f t="shared" si="22"/>
        <v>nincs</v>
      </c>
      <c r="BM298" s="313" t="s">
        <v>84</v>
      </c>
      <c r="BN298" s="282" t="str">
        <f t="shared" si="23"/>
        <v>nincs</v>
      </c>
      <c r="BO298" s="313" t="s">
        <v>84</v>
      </c>
      <c r="BP298" s="282" t="str">
        <f t="shared" ref="BP298" si="62">IF(BO298="nincs","nincs",ROUND(BO298/1.27,0))</f>
        <v>nincs</v>
      </c>
      <c r="BQ298" s="313" t="s">
        <v>84</v>
      </c>
      <c r="BR298" s="282" t="str">
        <f t="shared" si="24"/>
        <v>nincs</v>
      </c>
      <c r="BS298" s="313" t="s">
        <v>84</v>
      </c>
      <c r="BT298" s="282" t="str">
        <f t="shared" si="25"/>
        <v>nincs</v>
      </c>
      <c r="BU298" s="313" t="s">
        <v>84</v>
      </c>
      <c r="BV298" s="282" t="str">
        <f t="shared" si="26"/>
        <v>nincs</v>
      </c>
      <c r="BW298" s="313" t="s">
        <v>84</v>
      </c>
      <c r="BX298" s="282" t="str">
        <f t="shared" si="27"/>
        <v>nincs</v>
      </c>
      <c r="BZ298" s="313" t="s">
        <v>84</v>
      </c>
      <c r="CA298" s="282" t="str">
        <f t="shared" si="28"/>
        <v>nincs</v>
      </c>
      <c r="CB298" s="313" t="s">
        <v>84</v>
      </c>
      <c r="CC298" s="282" t="str">
        <f t="shared" si="29"/>
        <v>nincs</v>
      </c>
      <c r="CD298" s="313" t="s">
        <v>84</v>
      </c>
      <c r="CE298" s="282" t="str">
        <f t="shared" si="30"/>
        <v>nincs</v>
      </c>
      <c r="CF298" s="313" t="s">
        <v>84</v>
      </c>
      <c r="CG298" s="282" t="str">
        <f t="shared" si="31"/>
        <v>nincs</v>
      </c>
      <c r="CH298" s="313" t="s">
        <v>84</v>
      </c>
      <c r="CI298" s="282" t="str">
        <f t="shared" si="32"/>
        <v>nincs</v>
      </c>
      <c r="CJ298" s="313" t="s">
        <v>84</v>
      </c>
      <c r="CK298" s="282" t="str">
        <f t="shared" si="33"/>
        <v>nincs</v>
      </c>
      <c r="CL298" s="313" t="s">
        <v>84</v>
      </c>
      <c r="CM298" s="282" t="str">
        <f t="shared" si="34"/>
        <v>nincs</v>
      </c>
      <c r="CN298" s="313" t="s">
        <v>84</v>
      </c>
      <c r="CO298" s="282" t="str">
        <f t="shared" si="35"/>
        <v>nincs</v>
      </c>
      <c r="CP298" s="313" t="s">
        <v>84</v>
      </c>
      <c r="CQ298" s="282" t="str">
        <f t="shared" si="36"/>
        <v>nincs</v>
      </c>
    </row>
    <row r="299" spans="1:95" s="56" customFormat="1" x14ac:dyDescent="0.3">
      <c r="A299" s="68">
        <v>12</v>
      </c>
      <c r="B299" s="71" t="s">
        <v>374</v>
      </c>
      <c r="C299" s="199" t="s">
        <v>84</v>
      </c>
      <c r="D299" s="199" t="s">
        <v>84</v>
      </c>
      <c r="E299" s="199" t="s">
        <v>84</v>
      </c>
      <c r="F299" s="199" t="s">
        <v>84</v>
      </c>
      <c r="G299" s="112">
        <f t="shared" si="37"/>
        <v>65600</v>
      </c>
      <c r="H299" s="255">
        <v>489300</v>
      </c>
      <c r="I299" s="255">
        <v>371900</v>
      </c>
      <c r="J299" s="255">
        <v>426200</v>
      </c>
      <c r="K299" s="280">
        <v>335500</v>
      </c>
      <c r="L299" s="280">
        <v>389800</v>
      </c>
      <c r="M299" s="280">
        <v>335500</v>
      </c>
      <c r="N299" s="280">
        <f t="shared" si="38"/>
        <v>389800</v>
      </c>
      <c r="O299" s="280">
        <v>430100</v>
      </c>
      <c r="P299" s="255">
        <v>389100</v>
      </c>
      <c r="Q299" s="255">
        <v>443400</v>
      </c>
      <c r="R299" s="255" t="s">
        <v>84</v>
      </c>
      <c r="S299" s="192" t="s">
        <v>89</v>
      </c>
      <c r="T299" s="193" t="s">
        <v>61</v>
      </c>
      <c r="U299" s="192">
        <v>3200</v>
      </c>
      <c r="V299" s="192">
        <v>1</v>
      </c>
      <c r="W299" s="217">
        <f t="shared" si="39"/>
        <v>123200</v>
      </c>
      <c r="X299" s="192">
        <v>2375</v>
      </c>
      <c r="Y299" s="192">
        <v>2125</v>
      </c>
      <c r="Z299" s="192" t="s">
        <v>91</v>
      </c>
      <c r="AA299" s="192">
        <v>100</v>
      </c>
      <c r="AB299" s="192">
        <v>125</v>
      </c>
      <c r="AC299" s="217">
        <f t="shared" si="41"/>
        <v>65000</v>
      </c>
      <c r="AD299" s="192">
        <v>0</v>
      </c>
      <c r="AE299" s="197" t="s">
        <v>84</v>
      </c>
      <c r="AF299" s="216">
        <f t="shared" si="13"/>
        <v>43100</v>
      </c>
      <c r="AG299" s="224">
        <f t="shared" ca="1" si="14"/>
        <v>471100</v>
      </c>
      <c r="AH299" s="224">
        <f t="shared" ca="1" si="15"/>
        <v>544466.52380952379</v>
      </c>
      <c r="AI299" s="216">
        <f t="shared" si="16"/>
        <v>104400</v>
      </c>
      <c r="AJ299" s="198">
        <v>4</v>
      </c>
      <c r="AK299" s="198" t="s">
        <v>244</v>
      </c>
      <c r="AL299" s="216">
        <f t="shared" si="17"/>
        <v>123200</v>
      </c>
      <c r="AM299" s="216">
        <f t="shared" si="18"/>
        <v>166300</v>
      </c>
      <c r="AN299" s="230">
        <f t="shared" ca="1" si="43"/>
        <v>405400</v>
      </c>
      <c r="AO299" s="230">
        <f t="shared" ca="1" si="44"/>
        <v>319213</v>
      </c>
      <c r="AP299" s="230">
        <f t="shared" ca="1" si="45"/>
        <v>459900</v>
      </c>
      <c r="AQ299" s="230">
        <f t="shared" ca="1" si="46"/>
        <v>362126</v>
      </c>
      <c r="AR299" s="230">
        <f t="shared" ca="1" si="47"/>
        <v>437800</v>
      </c>
      <c r="AS299" s="230">
        <f t="shared" ca="1" si="48"/>
        <v>344724</v>
      </c>
      <c r="AT299" s="230">
        <f t="shared" ca="1" si="49"/>
        <v>492300</v>
      </c>
      <c r="AU299" s="230">
        <f t="shared" ca="1" si="50"/>
        <v>387638</v>
      </c>
      <c r="AV299" s="230">
        <f t="shared" ca="1" si="51"/>
        <v>496300</v>
      </c>
      <c r="AW299" s="230">
        <f t="shared" ca="1" si="52"/>
        <v>390787</v>
      </c>
      <c r="AX299" s="230">
        <f t="shared" ca="1" si="53"/>
        <v>550800</v>
      </c>
      <c r="AY299" s="230">
        <f t="shared" ca="1" si="54"/>
        <v>433701</v>
      </c>
      <c r="AZ299" s="230">
        <f t="shared" ca="1" si="55"/>
        <v>432600</v>
      </c>
      <c r="BA299" s="230">
        <f t="shared" ca="1" si="56"/>
        <v>340630</v>
      </c>
      <c r="BB299" s="230">
        <f t="shared" ca="1" si="57"/>
        <v>464900</v>
      </c>
      <c r="BC299" s="230">
        <f t="shared" ca="1" si="58"/>
        <v>366063</v>
      </c>
      <c r="BD299" s="230">
        <f t="shared" ca="1" si="59"/>
        <v>523500</v>
      </c>
      <c r="BE299" s="230">
        <f t="shared" ca="1" si="60"/>
        <v>412205</v>
      </c>
      <c r="BG299" s="313">
        <v>386100</v>
      </c>
      <c r="BH299" s="282">
        <f t="shared" si="61"/>
        <v>304016</v>
      </c>
      <c r="BI299" s="313">
        <v>438200</v>
      </c>
      <c r="BJ299" s="282">
        <f t="shared" si="21"/>
        <v>345039</v>
      </c>
      <c r="BK299" s="313">
        <v>416900</v>
      </c>
      <c r="BL299" s="282">
        <f t="shared" si="22"/>
        <v>328268</v>
      </c>
      <c r="BM299" s="313">
        <v>469000</v>
      </c>
      <c r="BN299" s="282">
        <f t="shared" si="23"/>
        <v>369291</v>
      </c>
      <c r="BO299" s="313">
        <v>472700</v>
      </c>
      <c r="BP299" s="282">
        <f>IF(BO299="nincs","nincs",ROUND(BO299/1.27,0))</f>
        <v>372205</v>
      </c>
      <c r="BQ299" s="313">
        <v>524800</v>
      </c>
      <c r="BR299" s="282">
        <f t="shared" si="24"/>
        <v>413228</v>
      </c>
      <c r="BS299" s="313">
        <v>412100</v>
      </c>
      <c r="BT299" s="282">
        <f t="shared" si="25"/>
        <v>324488</v>
      </c>
      <c r="BU299" s="313">
        <v>443000</v>
      </c>
      <c r="BV299" s="282">
        <f t="shared" si="26"/>
        <v>348819</v>
      </c>
      <c r="BW299" s="313">
        <v>498700</v>
      </c>
      <c r="BX299" s="282">
        <f t="shared" si="27"/>
        <v>392677</v>
      </c>
      <c r="BZ299" s="313">
        <v>405400</v>
      </c>
      <c r="CA299" s="282">
        <f t="shared" si="28"/>
        <v>319213</v>
      </c>
      <c r="CB299" s="313">
        <v>459900</v>
      </c>
      <c r="CC299" s="282">
        <f t="shared" si="29"/>
        <v>362126</v>
      </c>
      <c r="CD299" s="313">
        <v>437800</v>
      </c>
      <c r="CE299" s="282">
        <f t="shared" si="30"/>
        <v>344724</v>
      </c>
      <c r="CF299" s="313">
        <v>492300</v>
      </c>
      <c r="CG299" s="282">
        <f t="shared" si="31"/>
        <v>387638</v>
      </c>
      <c r="CH299" s="313">
        <v>496300</v>
      </c>
      <c r="CI299" s="282">
        <f t="shared" si="32"/>
        <v>390787</v>
      </c>
      <c r="CJ299" s="313">
        <v>550800</v>
      </c>
      <c r="CK299" s="282">
        <f t="shared" si="33"/>
        <v>433701</v>
      </c>
      <c r="CL299" s="313">
        <v>432600</v>
      </c>
      <c r="CM299" s="282">
        <f t="shared" si="34"/>
        <v>340630</v>
      </c>
      <c r="CN299" s="313">
        <v>464900</v>
      </c>
      <c r="CO299" s="282">
        <f t="shared" si="35"/>
        <v>366063</v>
      </c>
      <c r="CP299" s="313">
        <v>523500</v>
      </c>
      <c r="CQ299" s="282">
        <f t="shared" si="36"/>
        <v>412205</v>
      </c>
    </row>
    <row r="300" spans="1:95" s="56" customFormat="1" x14ac:dyDescent="0.3">
      <c r="A300" s="66">
        <v>13</v>
      </c>
      <c r="B300" s="71" t="s">
        <v>21</v>
      </c>
      <c r="C300" s="199" t="s">
        <v>84</v>
      </c>
      <c r="D300" s="199" t="s">
        <v>84</v>
      </c>
      <c r="E300" s="199" t="s">
        <v>84</v>
      </c>
      <c r="F300" s="199" t="s">
        <v>84</v>
      </c>
      <c r="G300" s="112">
        <f t="shared" si="37"/>
        <v>65600</v>
      </c>
      <c r="H300" s="255">
        <v>503600</v>
      </c>
      <c r="I300" s="255">
        <v>377500</v>
      </c>
      <c r="J300" s="255">
        <v>435200</v>
      </c>
      <c r="K300" s="280">
        <v>341600</v>
      </c>
      <c r="L300" s="280">
        <v>399300</v>
      </c>
      <c r="M300" s="280">
        <v>341600</v>
      </c>
      <c r="N300" s="280">
        <f t="shared" si="38"/>
        <v>399300</v>
      </c>
      <c r="O300" s="280">
        <v>445700</v>
      </c>
      <c r="P300" s="255">
        <v>405700</v>
      </c>
      <c r="Q300" s="255">
        <v>463400</v>
      </c>
      <c r="R300" s="255" t="s">
        <v>84</v>
      </c>
      <c r="S300" s="192" t="s">
        <v>89</v>
      </c>
      <c r="T300" s="194" t="s">
        <v>62</v>
      </c>
      <c r="U300" s="193">
        <v>3450</v>
      </c>
      <c r="V300" s="192">
        <v>1</v>
      </c>
      <c r="W300" s="217">
        <f t="shared" si="39"/>
        <v>133300</v>
      </c>
      <c r="X300" s="192">
        <v>2375</v>
      </c>
      <c r="Y300" s="192">
        <v>2250</v>
      </c>
      <c r="Z300" s="192" t="s">
        <v>91</v>
      </c>
      <c r="AA300" s="192">
        <v>100</v>
      </c>
      <c r="AB300" s="192">
        <v>125</v>
      </c>
      <c r="AC300" s="217">
        <f t="shared" si="41"/>
        <v>65000</v>
      </c>
      <c r="AD300" s="192">
        <v>0</v>
      </c>
      <c r="AE300" s="197" t="s">
        <v>84</v>
      </c>
      <c r="AF300" s="216">
        <f t="shared" si="13"/>
        <v>43100</v>
      </c>
      <c r="AG300" s="224">
        <f t="shared" ca="1" si="14"/>
        <v>471100</v>
      </c>
      <c r="AH300" s="224">
        <f t="shared" ca="1" si="15"/>
        <v>544466.52380952379</v>
      </c>
      <c r="AI300" s="216">
        <f t="shared" si="16"/>
        <v>104400</v>
      </c>
      <c r="AJ300" s="198">
        <v>4</v>
      </c>
      <c r="AK300" s="198" t="s">
        <v>244</v>
      </c>
      <c r="AL300" s="216">
        <f>$J$135</f>
        <v>133300</v>
      </c>
      <c r="AM300" s="216">
        <f>$J$138</f>
        <v>176400</v>
      </c>
      <c r="AN300" s="230" t="str">
        <f t="shared" ca="1" si="43"/>
        <v>nincs</v>
      </c>
      <c r="AO300" s="230" t="str">
        <f t="shared" ca="1" si="44"/>
        <v>nincs</v>
      </c>
      <c r="AP300" s="230" t="str">
        <f t="shared" ca="1" si="45"/>
        <v>nincs</v>
      </c>
      <c r="AQ300" s="230" t="str">
        <f t="shared" ca="1" si="46"/>
        <v>nincs</v>
      </c>
      <c r="AR300" s="230" t="str">
        <f t="shared" ca="1" si="47"/>
        <v>nincs</v>
      </c>
      <c r="AS300" s="230" t="str">
        <f t="shared" ca="1" si="48"/>
        <v>nincs</v>
      </c>
      <c r="AT300" s="230" t="str">
        <f t="shared" ca="1" si="49"/>
        <v>nincs</v>
      </c>
      <c r="AU300" s="230" t="str">
        <f t="shared" ca="1" si="50"/>
        <v>nincs</v>
      </c>
      <c r="AV300" s="230" t="str">
        <f t="shared" ca="1" si="51"/>
        <v>nincs</v>
      </c>
      <c r="AW300" s="230" t="str">
        <f t="shared" ca="1" si="52"/>
        <v>nincs</v>
      </c>
      <c r="AX300" s="230" t="str">
        <f t="shared" ca="1" si="53"/>
        <v>nincs</v>
      </c>
      <c r="AY300" s="230" t="str">
        <f t="shared" ca="1" si="54"/>
        <v>nincs</v>
      </c>
      <c r="AZ300" s="230" t="str">
        <f t="shared" ca="1" si="55"/>
        <v>nincs</v>
      </c>
      <c r="BA300" s="230" t="str">
        <f t="shared" ca="1" si="56"/>
        <v>nincs</v>
      </c>
      <c r="BB300" s="230" t="str">
        <f t="shared" ca="1" si="57"/>
        <v>nincs</v>
      </c>
      <c r="BC300" s="230" t="str">
        <f t="shared" ca="1" si="58"/>
        <v>nincs</v>
      </c>
      <c r="BD300" s="230" t="str">
        <f t="shared" ca="1" si="59"/>
        <v>nincs</v>
      </c>
      <c r="BE300" s="230" t="str">
        <f t="shared" ca="1" si="60"/>
        <v>nincs</v>
      </c>
      <c r="BG300" s="313" t="s">
        <v>84</v>
      </c>
      <c r="BH300" s="282" t="str">
        <f t="shared" si="61"/>
        <v>nincs</v>
      </c>
      <c r="BI300" s="313" t="s">
        <v>84</v>
      </c>
      <c r="BJ300" s="282" t="str">
        <f t="shared" si="21"/>
        <v>nincs</v>
      </c>
      <c r="BK300" s="313" t="s">
        <v>84</v>
      </c>
      <c r="BL300" s="282" t="str">
        <f t="shared" si="22"/>
        <v>nincs</v>
      </c>
      <c r="BM300" s="313" t="s">
        <v>84</v>
      </c>
      <c r="BN300" s="282" t="str">
        <f t="shared" si="23"/>
        <v>nincs</v>
      </c>
      <c r="BO300" s="313" t="s">
        <v>84</v>
      </c>
      <c r="BP300" s="282" t="str">
        <f t="shared" ref="BP300:BP306" si="63">IF(BO300="nincs","nincs",ROUND(BO300/1.27,0))</f>
        <v>nincs</v>
      </c>
      <c r="BQ300" s="313" t="s">
        <v>84</v>
      </c>
      <c r="BR300" s="282" t="str">
        <f t="shared" si="24"/>
        <v>nincs</v>
      </c>
      <c r="BS300" s="313" t="s">
        <v>84</v>
      </c>
      <c r="BT300" s="282" t="str">
        <f t="shared" si="25"/>
        <v>nincs</v>
      </c>
      <c r="BU300" s="313" t="s">
        <v>84</v>
      </c>
      <c r="BV300" s="282" t="str">
        <f t="shared" si="26"/>
        <v>nincs</v>
      </c>
      <c r="BW300" s="313" t="s">
        <v>84</v>
      </c>
      <c r="BX300" s="282" t="str">
        <f t="shared" si="27"/>
        <v>nincs</v>
      </c>
      <c r="BZ300" s="313" t="s">
        <v>84</v>
      </c>
      <c r="CA300" s="282" t="str">
        <f t="shared" si="28"/>
        <v>nincs</v>
      </c>
      <c r="CB300" s="313" t="s">
        <v>84</v>
      </c>
      <c r="CC300" s="282" t="str">
        <f t="shared" si="29"/>
        <v>nincs</v>
      </c>
      <c r="CD300" s="313" t="s">
        <v>84</v>
      </c>
      <c r="CE300" s="282" t="str">
        <f t="shared" si="30"/>
        <v>nincs</v>
      </c>
      <c r="CF300" s="313" t="s">
        <v>84</v>
      </c>
      <c r="CG300" s="282" t="str">
        <f t="shared" si="31"/>
        <v>nincs</v>
      </c>
      <c r="CH300" s="313" t="s">
        <v>84</v>
      </c>
      <c r="CI300" s="282" t="str">
        <f t="shared" si="32"/>
        <v>nincs</v>
      </c>
      <c r="CJ300" s="313" t="s">
        <v>84</v>
      </c>
      <c r="CK300" s="282" t="str">
        <f t="shared" si="33"/>
        <v>nincs</v>
      </c>
      <c r="CL300" s="313" t="s">
        <v>84</v>
      </c>
      <c r="CM300" s="282" t="str">
        <f t="shared" si="34"/>
        <v>nincs</v>
      </c>
      <c r="CN300" s="313" t="s">
        <v>84</v>
      </c>
      <c r="CO300" s="282" t="str">
        <f t="shared" si="35"/>
        <v>nincs</v>
      </c>
      <c r="CP300" s="313" t="s">
        <v>84</v>
      </c>
      <c r="CQ300" s="282" t="str">
        <f t="shared" si="36"/>
        <v>nincs</v>
      </c>
    </row>
    <row r="301" spans="1:95" x14ac:dyDescent="0.3">
      <c r="A301" s="68">
        <v>14</v>
      </c>
      <c r="B301" s="72" t="s">
        <v>79</v>
      </c>
      <c r="C301" s="199" t="s">
        <v>84</v>
      </c>
      <c r="D301" s="199" t="s">
        <v>84</v>
      </c>
      <c r="E301" s="199" t="s">
        <v>84</v>
      </c>
      <c r="F301" s="199" t="s">
        <v>84</v>
      </c>
      <c r="G301" s="112">
        <f t="shared" si="37"/>
        <v>65600</v>
      </c>
      <c r="H301" s="255">
        <v>489500</v>
      </c>
      <c r="I301" s="255">
        <v>371600</v>
      </c>
      <c r="J301" s="255">
        <v>423100</v>
      </c>
      <c r="K301" s="280">
        <v>336000</v>
      </c>
      <c r="L301" s="280">
        <v>387500</v>
      </c>
      <c r="M301" s="280">
        <v>336000</v>
      </c>
      <c r="N301" s="280">
        <f t="shared" si="38"/>
        <v>387500</v>
      </c>
      <c r="O301" s="280">
        <v>429600</v>
      </c>
      <c r="P301" s="255">
        <v>388300</v>
      </c>
      <c r="Q301" s="255">
        <v>439800</v>
      </c>
      <c r="R301" s="255" t="s">
        <v>84</v>
      </c>
      <c r="S301" s="192" t="s">
        <v>89</v>
      </c>
      <c r="T301" s="192" t="s">
        <v>61</v>
      </c>
      <c r="U301" s="192">
        <v>3200</v>
      </c>
      <c r="V301" s="192">
        <v>1</v>
      </c>
      <c r="W301" s="217">
        <f t="shared" si="39"/>
        <v>123200</v>
      </c>
      <c r="X301" s="192">
        <v>2440</v>
      </c>
      <c r="Y301" s="192">
        <v>1955</v>
      </c>
      <c r="Z301" s="192" t="s">
        <v>91</v>
      </c>
      <c r="AA301" s="192">
        <v>100</v>
      </c>
      <c r="AB301" s="192">
        <v>125</v>
      </c>
      <c r="AC301" s="217">
        <f t="shared" si="41"/>
        <v>65000</v>
      </c>
      <c r="AD301" s="192">
        <v>0</v>
      </c>
      <c r="AE301" s="197" t="s">
        <v>84</v>
      </c>
      <c r="AF301" s="216">
        <f t="shared" si="13"/>
        <v>43100</v>
      </c>
      <c r="AG301" s="224">
        <f t="shared" ca="1" si="14"/>
        <v>471100</v>
      </c>
      <c r="AH301" s="224">
        <f t="shared" ca="1" si="15"/>
        <v>544466.52380952379</v>
      </c>
      <c r="AI301" s="216">
        <f t="shared" si="16"/>
        <v>104400</v>
      </c>
      <c r="AJ301" s="223">
        <v>4</v>
      </c>
      <c r="AK301" s="198" t="s">
        <v>244</v>
      </c>
      <c r="AL301" s="216">
        <f t="shared" ref="AL301:AL307" si="64">$J$134</f>
        <v>123200</v>
      </c>
      <c r="AM301" s="216">
        <f t="shared" ref="AM301:AM307" si="65">$J$137</f>
        <v>166300</v>
      </c>
      <c r="AN301" s="230" t="str">
        <f t="shared" ca="1" si="43"/>
        <v>nincs</v>
      </c>
      <c r="AO301" s="230" t="str">
        <f t="shared" ca="1" si="44"/>
        <v>nincs</v>
      </c>
      <c r="AP301" s="230" t="str">
        <f t="shared" ca="1" si="45"/>
        <v>nincs</v>
      </c>
      <c r="AQ301" s="230" t="str">
        <f t="shared" ca="1" si="46"/>
        <v>nincs</v>
      </c>
      <c r="AR301" s="230" t="str">
        <f t="shared" ca="1" si="47"/>
        <v>nincs</v>
      </c>
      <c r="AS301" s="230" t="str">
        <f t="shared" ca="1" si="48"/>
        <v>nincs</v>
      </c>
      <c r="AT301" s="230" t="str">
        <f t="shared" ca="1" si="49"/>
        <v>nincs</v>
      </c>
      <c r="AU301" s="230" t="str">
        <f t="shared" ca="1" si="50"/>
        <v>nincs</v>
      </c>
      <c r="AV301" s="230" t="str">
        <f t="shared" ca="1" si="51"/>
        <v>nincs</v>
      </c>
      <c r="AW301" s="230" t="str">
        <f t="shared" ca="1" si="52"/>
        <v>nincs</v>
      </c>
      <c r="AX301" s="230" t="str">
        <f t="shared" ca="1" si="53"/>
        <v>nincs</v>
      </c>
      <c r="AY301" s="230" t="str">
        <f t="shared" ca="1" si="54"/>
        <v>nincs</v>
      </c>
      <c r="AZ301" s="230" t="str">
        <f t="shared" ca="1" si="55"/>
        <v>nincs</v>
      </c>
      <c r="BA301" s="230" t="str">
        <f t="shared" ca="1" si="56"/>
        <v>nincs</v>
      </c>
      <c r="BB301" s="230" t="str">
        <f t="shared" ca="1" si="57"/>
        <v>nincs</v>
      </c>
      <c r="BC301" s="230" t="str">
        <f t="shared" ca="1" si="58"/>
        <v>nincs</v>
      </c>
      <c r="BD301" s="230" t="str">
        <f t="shared" ca="1" si="59"/>
        <v>nincs</v>
      </c>
      <c r="BE301" s="230" t="str">
        <f t="shared" ca="1" si="60"/>
        <v>nincs</v>
      </c>
      <c r="BG301" s="313" t="s">
        <v>84</v>
      </c>
      <c r="BH301" s="282" t="str">
        <f t="shared" si="61"/>
        <v>nincs</v>
      </c>
      <c r="BI301" s="313" t="s">
        <v>84</v>
      </c>
      <c r="BJ301" s="282" t="str">
        <f t="shared" si="21"/>
        <v>nincs</v>
      </c>
      <c r="BK301" s="313" t="s">
        <v>84</v>
      </c>
      <c r="BL301" s="282" t="str">
        <f t="shared" si="22"/>
        <v>nincs</v>
      </c>
      <c r="BM301" s="313" t="s">
        <v>84</v>
      </c>
      <c r="BN301" s="282" t="str">
        <f t="shared" si="23"/>
        <v>nincs</v>
      </c>
      <c r="BO301" s="313" t="s">
        <v>84</v>
      </c>
      <c r="BP301" s="282" t="str">
        <f t="shared" si="63"/>
        <v>nincs</v>
      </c>
      <c r="BQ301" s="313" t="s">
        <v>84</v>
      </c>
      <c r="BR301" s="282" t="str">
        <f t="shared" si="24"/>
        <v>nincs</v>
      </c>
      <c r="BS301" s="313" t="s">
        <v>84</v>
      </c>
      <c r="BT301" s="282" t="str">
        <f t="shared" si="25"/>
        <v>nincs</v>
      </c>
      <c r="BU301" s="313" t="s">
        <v>84</v>
      </c>
      <c r="BV301" s="282" t="str">
        <f t="shared" si="26"/>
        <v>nincs</v>
      </c>
      <c r="BW301" s="313" t="s">
        <v>84</v>
      </c>
      <c r="BX301" s="282" t="str">
        <f t="shared" si="27"/>
        <v>nincs</v>
      </c>
      <c r="BZ301" s="313" t="s">
        <v>84</v>
      </c>
      <c r="CA301" s="282" t="str">
        <f t="shared" si="28"/>
        <v>nincs</v>
      </c>
      <c r="CB301" s="313" t="s">
        <v>84</v>
      </c>
      <c r="CC301" s="282" t="str">
        <f t="shared" si="29"/>
        <v>nincs</v>
      </c>
      <c r="CD301" s="313" t="s">
        <v>84</v>
      </c>
      <c r="CE301" s="282" t="str">
        <f t="shared" si="30"/>
        <v>nincs</v>
      </c>
      <c r="CF301" s="313" t="s">
        <v>84</v>
      </c>
      <c r="CG301" s="282" t="str">
        <f t="shared" si="31"/>
        <v>nincs</v>
      </c>
      <c r="CH301" s="313" t="s">
        <v>84</v>
      </c>
      <c r="CI301" s="282" t="str">
        <f t="shared" si="32"/>
        <v>nincs</v>
      </c>
      <c r="CJ301" s="313" t="s">
        <v>84</v>
      </c>
      <c r="CK301" s="282" t="str">
        <f t="shared" si="33"/>
        <v>nincs</v>
      </c>
      <c r="CL301" s="313" t="s">
        <v>84</v>
      </c>
      <c r="CM301" s="282" t="str">
        <f t="shared" si="34"/>
        <v>nincs</v>
      </c>
      <c r="CN301" s="313" t="s">
        <v>84</v>
      </c>
      <c r="CO301" s="282" t="str">
        <f t="shared" si="35"/>
        <v>nincs</v>
      </c>
      <c r="CP301" s="313" t="s">
        <v>84</v>
      </c>
      <c r="CQ301" s="282" t="str">
        <f t="shared" si="36"/>
        <v>nincs</v>
      </c>
    </row>
    <row r="302" spans="1:95" x14ac:dyDescent="0.3">
      <c r="A302" s="66">
        <v>15</v>
      </c>
      <c r="B302" s="72" t="s">
        <v>465</v>
      </c>
      <c r="C302" s="199" t="s">
        <v>84</v>
      </c>
      <c r="D302" s="199" t="s">
        <v>84</v>
      </c>
      <c r="E302" s="199" t="s">
        <v>84</v>
      </c>
      <c r="F302" s="199" t="s">
        <v>84</v>
      </c>
      <c r="G302" s="112">
        <f t="shared" si="37"/>
        <v>65600</v>
      </c>
      <c r="H302" s="255">
        <v>489300</v>
      </c>
      <c r="I302" s="255">
        <v>371900</v>
      </c>
      <c r="J302" s="255">
        <v>426500</v>
      </c>
      <c r="K302" s="280">
        <v>335500</v>
      </c>
      <c r="L302" s="280">
        <v>390100</v>
      </c>
      <c r="M302" s="280">
        <v>335500</v>
      </c>
      <c r="N302" s="280">
        <f t="shared" si="38"/>
        <v>390100</v>
      </c>
      <c r="O302" s="280">
        <v>430100</v>
      </c>
      <c r="P302" s="255">
        <v>389100</v>
      </c>
      <c r="Q302" s="255">
        <v>443700</v>
      </c>
      <c r="R302" s="255" t="s">
        <v>84</v>
      </c>
      <c r="S302" s="192" t="s">
        <v>89</v>
      </c>
      <c r="T302" s="192" t="s">
        <v>61</v>
      </c>
      <c r="U302" s="192">
        <v>3200</v>
      </c>
      <c r="V302" s="192">
        <v>1</v>
      </c>
      <c r="W302" s="217">
        <f t="shared" si="39"/>
        <v>123200</v>
      </c>
      <c r="X302" s="192">
        <v>2440</v>
      </c>
      <c r="Y302" s="192">
        <v>2080</v>
      </c>
      <c r="Z302" s="192" t="s">
        <v>91</v>
      </c>
      <c r="AA302" s="192">
        <v>100</v>
      </c>
      <c r="AB302" s="192">
        <v>125</v>
      </c>
      <c r="AC302" s="217">
        <f t="shared" si="41"/>
        <v>65000</v>
      </c>
      <c r="AD302" s="192">
        <v>0</v>
      </c>
      <c r="AE302" s="197" t="s">
        <v>84</v>
      </c>
      <c r="AF302" s="216">
        <f t="shared" si="13"/>
        <v>43100</v>
      </c>
      <c r="AG302" s="224">
        <f t="shared" ca="1" si="14"/>
        <v>471100</v>
      </c>
      <c r="AH302" s="224">
        <f t="shared" ca="1" si="15"/>
        <v>544466.52380952379</v>
      </c>
      <c r="AI302" s="216">
        <f t="shared" si="16"/>
        <v>104400</v>
      </c>
      <c r="AJ302" s="223">
        <v>4</v>
      </c>
      <c r="AK302" s="198" t="s">
        <v>244</v>
      </c>
      <c r="AL302" s="216">
        <f t="shared" si="64"/>
        <v>123200</v>
      </c>
      <c r="AM302" s="216">
        <f t="shared" si="65"/>
        <v>166300</v>
      </c>
      <c r="AN302" s="230">
        <f t="shared" ca="1" si="43"/>
        <v>405400</v>
      </c>
      <c r="AO302" s="230">
        <f t="shared" ca="1" si="44"/>
        <v>319213</v>
      </c>
      <c r="AP302" s="230">
        <f t="shared" ca="1" si="45"/>
        <v>459900</v>
      </c>
      <c r="AQ302" s="230">
        <f t="shared" ca="1" si="46"/>
        <v>362126</v>
      </c>
      <c r="AR302" s="230">
        <f t="shared" ca="1" si="47"/>
        <v>437800</v>
      </c>
      <c r="AS302" s="230">
        <f t="shared" ca="1" si="48"/>
        <v>344724</v>
      </c>
      <c r="AT302" s="230">
        <f t="shared" ca="1" si="49"/>
        <v>492300</v>
      </c>
      <c r="AU302" s="230">
        <f t="shared" ca="1" si="50"/>
        <v>387638</v>
      </c>
      <c r="AV302" s="230">
        <f t="shared" ca="1" si="51"/>
        <v>496300</v>
      </c>
      <c r="AW302" s="230">
        <f t="shared" ca="1" si="52"/>
        <v>390787</v>
      </c>
      <c r="AX302" s="230">
        <f t="shared" ca="1" si="53"/>
        <v>550800</v>
      </c>
      <c r="AY302" s="230">
        <f t="shared" ca="1" si="54"/>
        <v>433701</v>
      </c>
      <c r="AZ302" s="230">
        <f t="shared" ca="1" si="55"/>
        <v>432600</v>
      </c>
      <c r="BA302" s="230">
        <f t="shared" ca="1" si="56"/>
        <v>340630</v>
      </c>
      <c r="BB302" s="230">
        <f t="shared" ca="1" si="57"/>
        <v>464900</v>
      </c>
      <c r="BC302" s="230">
        <f t="shared" ca="1" si="58"/>
        <v>366063</v>
      </c>
      <c r="BD302" s="230">
        <f t="shared" ca="1" si="59"/>
        <v>523500</v>
      </c>
      <c r="BE302" s="230">
        <f t="shared" ca="1" si="60"/>
        <v>412205</v>
      </c>
      <c r="BG302" s="313">
        <v>386100</v>
      </c>
      <c r="BH302" s="282">
        <f t="shared" si="61"/>
        <v>304016</v>
      </c>
      <c r="BI302" s="313">
        <f>BI299</f>
        <v>438200</v>
      </c>
      <c r="BJ302" s="282">
        <f t="shared" si="21"/>
        <v>345039</v>
      </c>
      <c r="BK302" s="313">
        <v>416900</v>
      </c>
      <c r="BL302" s="282">
        <f t="shared" si="22"/>
        <v>328268</v>
      </c>
      <c r="BM302" s="313">
        <v>469000</v>
      </c>
      <c r="BN302" s="282">
        <f t="shared" si="23"/>
        <v>369291</v>
      </c>
      <c r="BO302" s="313">
        <v>472700</v>
      </c>
      <c r="BP302" s="282">
        <f t="shared" si="63"/>
        <v>372205</v>
      </c>
      <c r="BQ302" s="313">
        <v>524800</v>
      </c>
      <c r="BR302" s="282">
        <f t="shared" si="24"/>
        <v>413228</v>
      </c>
      <c r="BS302" s="313">
        <v>412100</v>
      </c>
      <c r="BT302" s="282">
        <f t="shared" si="25"/>
        <v>324488</v>
      </c>
      <c r="BU302" s="313">
        <v>443000</v>
      </c>
      <c r="BV302" s="282">
        <f t="shared" si="26"/>
        <v>348819</v>
      </c>
      <c r="BW302" s="313">
        <v>498700</v>
      </c>
      <c r="BX302" s="282">
        <f t="shared" si="27"/>
        <v>392677</v>
      </c>
      <c r="BZ302" s="313">
        <v>405400</v>
      </c>
      <c r="CA302" s="282">
        <f t="shared" si="28"/>
        <v>319213</v>
      </c>
      <c r="CB302" s="313">
        <v>459900</v>
      </c>
      <c r="CC302" s="282">
        <f t="shared" si="29"/>
        <v>362126</v>
      </c>
      <c r="CD302" s="313">
        <v>437800</v>
      </c>
      <c r="CE302" s="282">
        <f t="shared" si="30"/>
        <v>344724</v>
      </c>
      <c r="CF302" s="313">
        <v>492300</v>
      </c>
      <c r="CG302" s="282">
        <f t="shared" si="31"/>
        <v>387638</v>
      </c>
      <c r="CH302" s="313">
        <v>496300</v>
      </c>
      <c r="CI302" s="282">
        <f t="shared" si="32"/>
        <v>390787</v>
      </c>
      <c r="CJ302" s="313">
        <v>550800</v>
      </c>
      <c r="CK302" s="282">
        <f t="shared" si="33"/>
        <v>433701</v>
      </c>
      <c r="CL302" s="313">
        <v>432600</v>
      </c>
      <c r="CM302" s="282">
        <f t="shared" si="34"/>
        <v>340630</v>
      </c>
      <c r="CN302" s="313">
        <v>464900</v>
      </c>
      <c r="CO302" s="282">
        <f t="shared" si="35"/>
        <v>366063</v>
      </c>
      <c r="CP302" s="313">
        <v>523500</v>
      </c>
      <c r="CQ302" s="282">
        <f t="shared" si="36"/>
        <v>412205</v>
      </c>
    </row>
    <row r="303" spans="1:95" x14ac:dyDescent="0.3">
      <c r="A303" s="68">
        <v>16</v>
      </c>
      <c r="B303" s="72" t="s">
        <v>80</v>
      </c>
      <c r="C303" s="199" t="s">
        <v>84</v>
      </c>
      <c r="D303" s="199" t="s">
        <v>84</v>
      </c>
      <c r="E303" s="199" t="s">
        <v>84</v>
      </c>
      <c r="F303" s="199" t="s">
        <v>84</v>
      </c>
      <c r="G303" s="112">
        <f t="shared" si="37"/>
        <v>65600</v>
      </c>
      <c r="H303" s="255">
        <v>503600</v>
      </c>
      <c r="I303" s="255">
        <v>393200</v>
      </c>
      <c r="J303" s="255">
        <v>451100</v>
      </c>
      <c r="K303" s="280">
        <v>355500</v>
      </c>
      <c r="L303" s="280">
        <v>413400</v>
      </c>
      <c r="M303" s="280">
        <v>355500</v>
      </c>
      <c r="N303" s="280">
        <f t="shared" si="38"/>
        <v>413400</v>
      </c>
      <c r="O303" s="280">
        <v>445700</v>
      </c>
      <c r="P303" s="255">
        <v>405700</v>
      </c>
      <c r="Q303" s="255">
        <v>463600</v>
      </c>
      <c r="R303" s="255" t="s">
        <v>84</v>
      </c>
      <c r="S303" s="192" t="s">
        <v>89</v>
      </c>
      <c r="T303" s="192" t="s">
        <v>61</v>
      </c>
      <c r="U303" s="192">
        <v>3200</v>
      </c>
      <c r="V303" s="192">
        <v>1</v>
      </c>
      <c r="W303" s="217">
        <f t="shared" si="39"/>
        <v>123200</v>
      </c>
      <c r="X303" s="192">
        <v>2440</v>
      </c>
      <c r="Y303" s="192">
        <v>2205</v>
      </c>
      <c r="Z303" s="192" t="s">
        <v>91</v>
      </c>
      <c r="AA303" s="192">
        <v>100</v>
      </c>
      <c r="AB303" s="192">
        <v>125</v>
      </c>
      <c r="AC303" s="217">
        <f t="shared" si="41"/>
        <v>65000</v>
      </c>
      <c r="AD303" s="192">
        <v>0</v>
      </c>
      <c r="AE303" s="197" t="s">
        <v>84</v>
      </c>
      <c r="AF303" s="216">
        <f t="shared" si="13"/>
        <v>43100</v>
      </c>
      <c r="AG303" s="224">
        <f t="shared" ca="1" si="14"/>
        <v>471100</v>
      </c>
      <c r="AH303" s="224">
        <f t="shared" ca="1" si="15"/>
        <v>544466.52380952379</v>
      </c>
      <c r="AI303" s="216">
        <f t="shared" si="16"/>
        <v>104400</v>
      </c>
      <c r="AJ303" s="223">
        <v>4</v>
      </c>
      <c r="AK303" s="198" t="s">
        <v>244</v>
      </c>
      <c r="AL303" s="216">
        <f t="shared" si="64"/>
        <v>123200</v>
      </c>
      <c r="AM303" s="216">
        <f t="shared" si="65"/>
        <v>166300</v>
      </c>
      <c r="AN303" s="230" t="str">
        <f t="shared" ca="1" si="43"/>
        <v>nincs</v>
      </c>
      <c r="AO303" s="230" t="str">
        <f t="shared" ca="1" si="44"/>
        <v>nincs</v>
      </c>
      <c r="AP303" s="230" t="str">
        <f t="shared" ca="1" si="45"/>
        <v>nincs</v>
      </c>
      <c r="AQ303" s="230" t="str">
        <f t="shared" ca="1" si="46"/>
        <v>nincs</v>
      </c>
      <c r="AR303" s="230" t="str">
        <f t="shared" ca="1" si="47"/>
        <v>nincs</v>
      </c>
      <c r="AS303" s="230" t="str">
        <f t="shared" ca="1" si="48"/>
        <v>nincs</v>
      </c>
      <c r="AT303" s="230" t="str">
        <f t="shared" ca="1" si="49"/>
        <v>nincs</v>
      </c>
      <c r="AU303" s="230" t="str">
        <f t="shared" ca="1" si="50"/>
        <v>nincs</v>
      </c>
      <c r="AV303" s="230" t="str">
        <f t="shared" ca="1" si="51"/>
        <v>nincs</v>
      </c>
      <c r="AW303" s="230" t="str">
        <f t="shared" ca="1" si="52"/>
        <v>nincs</v>
      </c>
      <c r="AX303" s="230" t="str">
        <f t="shared" ca="1" si="53"/>
        <v>nincs</v>
      </c>
      <c r="AY303" s="230" t="str">
        <f t="shared" ca="1" si="54"/>
        <v>nincs</v>
      </c>
      <c r="AZ303" s="230" t="str">
        <f t="shared" ca="1" si="55"/>
        <v>nincs</v>
      </c>
      <c r="BA303" s="230" t="str">
        <f t="shared" ca="1" si="56"/>
        <v>nincs</v>
      </c>
      <c r="BB303" s="230" t="str">
        <f t="shared" ca="1" si="57"/>
        <v>nincs</v>
      </c>
      <c r="BC303" s="230" t="str">
        <f t="shared" ca="1" si="58"/>
        <v>nincs</v>
      </c>
      <c r="BD303" s="230" t="str">
        <f t="shared" ca="1" si="59"/>
        <v>nincs</v>
      </c>
      <c r="BE303" s="230" t="str">
        <f t="shared" ca="1" si="60"/>
        <v>nincs</v>
      </c>
      <c r="BG303" s="313" t="s">
        <v>84</v>
      </c>
      <c r="BH303" s="282" t="str">
        <f t="shared" si="61"/>
        <v>nincs</v>
      </c>
      <c r="BI303" s="313" t="s">
        <v>84</v>
      </c>
      <c r="BJ303" s="282" t="str">
        <f t="shared" si="21"/>
        <v>nincs</v>
      </c>
      <c r="BK303" s="313" t="s">
        <v>84</v>
      </c>
      <c r="BL303" s="282" t="str">
        <f t="shared" si="22"/>
        <v>nincs</v>
      </c>
      <c r="BM303" s="313" t="s">
        <v>84</v>
      </c>
      <c r="BN303" s="282" t="str">
        <f t="shared" si="23"/>
        <v>nincs</v>
      </c>
      <c r="BO303" s="313" t="s">
        <v>84</v>
      </c>
      <c r="BP303" s="282" t="str">
        <f t="shared" si="63"/>
        <v>nincs</v>
      </c>
      <c r="BQ303" s="313" t="s">
        <v>84</v>
      </c>
      <c r="BR303" s="282" t="str">
        <f t="shared" si="24"/>
        <v>nincs</v>
      </c>
      <c r="BS303" s="313" t="s">
        <v>84</v>
      </c>
      <c r="BT303" s="282" t="str">
        <f t="shared" si="25"/>
        <v>nincs</v>
      </c>
      <c r="BU303" s="313" t="s">
        <v>84</v>
      </c>
      <c r="BV303" s="282" t="str">
        <f t="shared" si="26"/>
        <v>nincs</v>
      </c>
      <c r="BW303" s="313" t="s">
        <v>84</v>
      </c>
      <c r="BX303" s="282" t="str">
        <f t="shared" si="27"/>
        <v>nincs</v>
      </c>
      <c r="BZ303" s="313" t="s">
        <v>84</v>
      </c>
      <c r="CA303" s="282" t="str">
        <f t="shared" si="28"/>
        <v>nincs</v>
      </c>
      <c r="CB303" s="313" t="s">
        <v>84</v>
      </c>
      <c r="CC303" s="282" t="str">
        <f t="shared" si="29"/>
        <v>nincs</v>
      </c>
      <c r="CD303" s="313" t="s">
        <v>84</v>
      </c>
      <c r="CE303" s="282" t="str">
        <f t="shared" si="30"/>
        <v>nincs</v>
      </c>
      <c r="CF303" s="313" t="s">
        <v>84</v>
      </c>
      <c r="CG303" s="282" t="str">
        <f t="shared" si="31"/>
        <v>nincs</v>
      </c>
      <c r="CH303" s="313" t="s">
        <v>84</v>
      </c>
      <c r="CI303" s="282" t="str">
        <f t="shared" si="32"/>
        <v>nincs</v>
      </c>
      <c r="CJ303" s="313" t="s">
        <v>84</v>
      </c>
      <c r="CK303" s="282" t="str">
        <f t="shared" si="33"/>
        <v>nincs</v>
      </c>
      <c r="CL303" s="313" t="s">
        <v>84</v>
      </c>
      <c r="CM303" s="282" t="str">
        <f t="shared" si="34"/>
        <v>nincs</v>
      </c>
      <c r="CN303" s="313" t="s">
        <v>84</v>
      </c>
      <c r="CO303" s="282" t="str">
        <f t="shared" si="35"/>
        <v>nincs</v>
      </c>
      <c r="CP303" s="313" t="s">
        <v>84</v>
      </c>
      <c r="CQ303" s="282" t="str">
        <f t="shared" si="36"/>
        <v>nincs</v>
      </c>
    </row>
    <row r="304" spans="1:95" s="56" customFormat="1" x14ac:dyDescent="0.3">
      <c r="A304" s="66">
        <v>17</v>
      </c>
      <c r="B304" s="71" t="s">
        <v>66</v>
      </c>
      <c r="C304" s="199" t="s">
        <v>84</v>
      </c>
      <c r="D304" s="199" t="s">
        <v>84</v>
      </c>
      <c r="E304" s="199" t="s">
        <v>84</v>
      </c>
      <c r="F304" s="199" t="s">
        <v>84</v>
      </c>
      <c r="G304" s="112">
        <f t="shared" si="37"/>
        <v>65600</v>
      </c>
      <c r="H304" s="255">
        <v>489300</v>
      </c>
      <c r="I304" s="255">
        <v>373400</v>
      </c>
      <c r="J304" s="255">
        <v>423900</v>
      </c>
      <c r="K304" s="280">
        <v>336500</v>
      </c>
      <c r="L304" s="280">
        <v>387000</v>
      </c>
      <c r="M304" s="280">
        <v>336500</v>
      </c>
      <c r="N304" s="280">
        <f t="shared" si="38"/>
        <v>387000</v>
      </c>
      <c r="O304" s="280">
        <v>429800</v>
      </c>
      <c r="P304" s="255">
        <v>388300</v>
      </c>
      <c r="Q304" s="255">
        <v>438800</v>
      </c>
      <c r="R304" s="255" t="s">
        <v>84</v>
      </c>
      <c r="S304" s="192" t="s">
        <v>89</v>
      </c>
      <c r="T304" s="193" t="s">
        <v>61</v>
      </c>
      <c r="U304" s="192">
        <v>3200</v>
      </c>
      <c r="V304" s="192">
        <v>1</v>
      </c>
      <c r="W304" s="217">
        <f t="shared" si="39"/>
        <v>123200</v>
      </c>
      <c r="X304" s="192">
        <v>2500</v>
      </c>
      <c r="Y304" s="192">
        <v>1875</v>
      </c>
      <c r="Z304" s="192" t="s">
        <v>91</v>
      </c>
      <c r="AA304" s="192">
        <v>100</v>
      </c>
      <c r="AB304" s="192">
        <v>125</v>
      </c>
      <c r="AC304" s="217">
        <f t="shared" si="41"/>
        <v>65000</v>
      </c>
      <c r="AD304" s="192">
        <v>0</v>
      </c>
      <c r="AE304" s="197" t="s">
        <v>84</v>
      </c>
      <c r="AF304" s="216">
        <f t="shared" si="13"/>
        <v>43100</v>
      </c>
      <c r="AG304" s="224">
        <f t="shared" ca="1" si="14"/>
        <v>471100</v>
      </c>
      <c r="AH304" s="224">
        <f t="shared" ca="1" si="15"/>
        <v>544466.52380952379</v>
      </c>
      <c r="AI304" s="216">
        <f t="shared" si="16"/>
        <v>104400</v>
      </c>
      <c r="AJ304" s="198">
        <v>4</v>
      </c>
      <c r="AK304" s="198" t="s">
        <v>244</v>
      </c>
      <c r="AL304" s="216">
        <f t="shared" si="64"/>
        <v>123200</v>
      </c>
      <c r="AM304" s="216">
        <f t="shared" si="65"/>
        <v>166300</v>
      </c>
      <c r="AN304" s="230" t="str">
        <f t="shared" ca="1" si="43"/>
        <v>nincs</v>
      </c>
      <c r="AO304" s="230" t="str">
        <f t="shared" ca="1" si="44"/>
        <v>nincs</v>
      </c>
      <c r="AP304" s="230" t="str">
        <f t="shared" ca="1" si="45"/>
        <v>nincs</v>
      </c>
      <c r="AQ304" s="230" t="str">
        <f t="shared" ca="1" si="46"/>
        <v>nincs</v>
      </c>
      <c r="AR304" s="230" t="str">
        <f t="shared" ca="1" si="47"/>
        <v>nincs</v>
      </c>
      <c r="AS304" s="230" t="str">
        <f t="shared" ca="1" si="48"/>
        <v>nincs</v>
      </c>
      <c r="AT304" s="230" t="str">
        <f t="shared" ca="1" si="49"/>
        <v>nincs</v>
      </c>
      <c r="AU304" s="230" t="str">
        <f t="shared" ca="1" si="50"/>
        <v>nincs</v>
      </c>
      <c r="AV304" s="230" t="str">
        <f t="shared" ca="1" si="51"/>
        <v>nincs</v>
      </c>
      <c r="AW304" s="230" t="str">
        <f t="shared" ca="1" si="52"/>
        <v>nincs</v>
      </c>
      <c r="AX304" s="230" t="str">
        <f t="shared" ca="1" si="53"/>
        <v>nincs</v>
      </c>
      <c r="AY304" s="230" t="str">
        <f t="shared" ca="1" si="54"/>
        <v>nincs</v>
      </c>
      <c r="AZ304" s="230" t="str">
        <f t="shared" ca="1" si="55"/>
        <v>nincs</v>
      </c>
      <c r="BA304" s="230" t="str">
        <f t="shared" ca="1" si="56"/>
        <v>nincs</v>
      </c>
      <c r="BB304" s="230" t="str">
        <f t="shared" ca="1" si="57"/>
        <v>nincs</v>
      </c>
      <c r="BC304" s="230" t="str">
        <f t="shared" ca="1" si="58"/>
        <v>nincs</v>
      </c>
      <c r="BD304" s="230" t="str">
        <f t="shared" ca="1" si="59"/>
        <v>nincs</v>
      </c>
      <c r="BE304" s="230" t="str">
        <f t="shared" ca="1" si="60"/>
        <v>nincs</v>
      </c>
      <c r="BG304" s="313" t="s">
        <v>84</v>
      </c>
      <c r="BH304" s="282" t="str">
        <f t="shared" si="61"/>
        <v>nincs</v>
      </c>
      <c r="BI304" s="313" t="s">
        <v>84</v>
      </c>
      <c r="BJ304" s="282" t="str">
        <f t="shared" si="21"/>
        <v>nincs</v>
      </c>
      <c r="BK304" s="313" t="s">
        <v>84</v>
      </c>
      <c r="BL304" s="282" t="str">
        <f t="shared" si="22"/>
        <v>nincs</v>
      </c>
      <c r="BM304" s="313" t="s">
        <v>84</v>
      </c>
      <c r="BN304" s="282" t="str">
        <f t="shared" si="23"/>
        <v>nincs</v>
      </c>
      <c r="BO304" s="313" t="s">
        <v>84</v>
      </c>
      <c r="BP304" s="282" t="str">
        <f t="shared" si="63"/>
        <v>nincs</v>
      </c>
      <c r="BQ304" s="313" t="s">
        <v>84</v>
      </c>
      <c r="BR304" s="282" t="str">
        <f t="shared" si="24"/>
        <v>nincs</v>
      </c>
      <c r="BS304" s="313" t="s">
        <v>84</v>
      </c>
      <c r="BT304" s="282" t="str">
        <f t="shared" si="25"/>
        <v>nincs</v>
      </c>
      <c r="BU304" s="313" t="s">
        <v>84</v>
      </c>
      <c r="BV304" s="282" t="str">
        <f t="shared" si="26"/>
        <v>nincs</v>
      </c>
      <c r="BW304" s="313" t="s">
        <v>84</v>
      </c>
      <c r="BX304" s="282" t="str">
        <f t="shared" si="27"/>
        <v>nincs</v>
      </c>
      <c r="BZ304" s="313" t="s">
        <v>84</v>
      </c>
      <c r="CA304" s="282" t="str">
        <f t="shared" si="28"/>
        <v>nincs</v>
      </c>
      <c r="CB304" s="313" t="s">
        <v>84</v>
      </c>
      <c r="CC304" s="282" t="str">
        <f t="shared" si="29"/>
        <v>nincs</v>
      </c>
      <c r="CD304" s="313" t="s">
        <v>84</v>
      </c>
      <c r="CE304" s="282" t="str">
        <f t="shared" si="30"/>
        <v>nincs</v>
      </c>
      <c r="CF304" s="313" t="s">
        <v>84</v>
      </c>
      <c r="CG304" s="282" t="str">
        <f t="shared" si="31"/>
        <v>nincs</v>
      </c>
      <c r="CH304" s="313" t="s">
        <v>84</v>
      </c>
      <c r="CI304" s="282" t="str">
        <f t="shared" si="32"/>
        <v>nincs</v>
      </c>
      <c r="CJ304" s="313" t="s">
        <v>84</v>
      </c>
      <c r="CK304" s="282" t="str">
        <f t="shared" si="33"/>
        <v>nincs</v>
      </c>
      <c r="CL304" s="313" t="s">
        <v>84</v>
      </c>
      <c r="CM304" s="282" t="str">
        <f t="shared" si="34"/>
        <v>nincs</v>
      </c>
      <c r="CN304" s="313" t="s">
        <v>84</v>
      </c>
      <c r="CO304" s="282" t="str">
        <f t="shared" si="35"/>
        <v>nincs</v>
      </c>
      <c r="CP304" s="313" t="s">
        <v>84</v>
      </c>
      <c r="CQ304" s="282" t="str">
        <f t="shared" si="36"/>
        <v>nincs</v>
      </c>
    </row>
    <row r="305" spans="1:95" s="56" customFormat="1" x14ac:dyDescent="0.3">
      <c r="A305" s="68">
        <v>18</v>
      </c>
      <c r="B305" s="71" t="s">
        <v>373</v>
      </c>
      <c r="C305" s="199" t="s">
        <v>84</v>
      </c>
      <c r="D305" s="199" t="s">
        <v>84</v>
      </c>
      <c r="E305" s="199" t="s">
        <v>84</v>
      </c>
      <c r="F305" s="199" t="s">
        <v>84</v>
      </c>
      <c r="G305" s="112">
        <f t="shared" si="37"/>
        <v>65600</v>
      </c>
      <c r="H305" s="255">
        <v>489500</v>
      </c>
      <c r="I305" s="255">
        <v>371600</v>
      </c>
      <c r="J305" s="255">
        <v>425500</v>
      </c>
      <c r="K305" s="280">
        <v>336000</v>
      </c>
      <c r="L305" s="280">
        <v>389800</v>
      </c>
      <c r="M305" s="280">
        <v>336000</v>
      </c>
      <c r="N305" s="280">
        <f t="shared" si="38"/>
        <v>389800</v>
      </c>
      <c r="O305" s="280">
        <v>429600</v>
      </c>
      <c r="P305" s="255">
        <v>388300</v>
      </c>
      <c r="Q305" s="255">
        <v>442100</v>
      </c>
      <c r="R305" s="255" t="s">
        <v>84</v>
      </c>
      <c r="S305" s="192" t="s">
        <v>89</v>
      </c>
      <c r="T305" s="193" t="s">
        <v>61</v>
      </c>
      <c r="U305" s="192">
        <v>3200</v>
      </c>
      <c r="V305" s="192">
        <v>1</v>
      </c>
      <c r="W305" s="217">
        <f t="shared" si="39"/>
        <v>123200</v>
      </c>
      <c r="X305" s="192">
        <v>2500</v>
      </c>
      <c r="Y305" s="192">
        <v>2000</v>
      </c>
      <c r="Z305" s="192" t="s">
        <v>91</v>
      </c>
      <c r="AA305" s="192">
        <v>100</v>
      </c>
      <c r="AB305" s="192">
        <v>125</v>
      </c>
      <c r="AC305" s="217">
        <f t="shared" si="41"/>
        <v>65000</v>
      </c>
      <c r="AD305" s="192">
        <v>0</v>
      </c>
      <c r="AE305" s="197" t="s">
        <v>84</v>
      </c>
      <c r="AF305" s="216">
        <f t="shared" si="13"/>
        <v>43100</v>
      </c>
      <c r="AG305" s="224">
        <f t="shared" ca="1" si="14"/>
        <v>471100</v>
      </c>
      <c r="AH305" s="224">
        <f t="shared" ca="1" si="15"/>
        <v>544466.52380952379</v>
      </c>
      <c r="AI305" s="216">
        <f t="shared" si="16"/>
        <v>104400</v>
      </c>
      <c r="AJ305" s="198">
        <v>4</v>
      </c>
      <c r="AK305" s="198" t="s">
        <v>244</v>
      </c>
      <c r="AL305" s="216">
        <f t="shared" si="64"/>
        <v>123200</v>
      </c>
      <c r="AM305" s="216">
        <f t="shared" si="65"/>
        <v>166300</v>
      </c>
      <c r="AN305" s="230">
        <f t="shared" ca="1" si="43"/>
        <v>404600</v>
      </c>
      <c r="AO305" s="230">
        <f t="shared" ca="1" si="44"/>
        <v>318583</v>
      </c>
      <c r="AP305" s="230">
        <f t="shared" ca="1" si="45"/>
        <v>459200</v>
      </c>
      <c r="AQ305" s="230">
        <f t="shared" ca="1" si="46"/>
        <v>361575</v>
      </c>
      <c r="AR305" s="230">
        <f t="shared" ca="1" si="47"/>
        <v>437000</v>
      </c>
      <c r="AS305" s="230">
        <f t="shared" ca="1" si="48"/>
        <v>344094</v>
      </c>
      <c r="AT305" s="230">
        <f t="shared" ca="1" si="49"/>
        <v>491600</v>
      </c>
      <c r="AU305" s="230">
        <f t="shared" ca="1" si="50"/>
        <v>387087</v>
      </c>
      <c r="AV305" s="230">
        <f t="shared" ca="1" si="51"/>
        <v>495600</v>
      </c>
      <c r="AW305" s="230">
        <f t="shared" ca="1" si="52"/>
        <v>390236</v>
      </c>
      <c r="AX305" s="230">
        <f t="shared" ca="1" si="53"/>
        <v>550200</v>
      </c>
      <c r="AY305" s="230">
        <f t="shared" ca="1" si="54"/>
        <v>433228</v>
      </c>
      <c r="AZ305" s="230">
        <f t="shared" ca="1" si="55"/>
        <v>431900</v>
      </c>
      <c r="BA305" s="230">
        <f t="shared" ca="1" si="56"/>
        <v>340079</v>
      </c>
      <c r="BB305" s="230">
        <f t="shared" ca="1" si="57"/>
        <v>464300</v>
      </c>
      <c r="BC305" s="230">
        <f t="shared" ca="1" si="58"/>
        <v>365591</v>
      </c>
      <c r="BD305" s="230">
        <f t="shared" ca="1" si="59"/>
        <v>522900</v>
      </c>
      <c r="BE305" s="230">
        <f t="shared" ca="1" si="60"/>
        <v>411732</v>
      </c>
      <c r="BG305" s="313">
        <v>385300</v>
      </c>
      <c r="BH305" s="282">
        <f>IF(BG305="nincs","nincs",ROUND(BG305/1.27,0))</f>
        <v>303386</v>
      </c>
      <c r="BI305" s="313">
        <v>437300</v>
      </c>
      <c r="BJ305" s="282">
        <f>IF(BI305="nincs","nincs",ROUND(BI305/1.27,0))</f>
        <v>344331</v>
      </c>
      <c r="BK305" s="313">
        <v>416200</v>
      </c>
      <c r="BL305" s="282">
        <f>IF(BK305="nincs","nincs",ROUND(BK305/1.27,0))</f>
        <v>327717</v>
      </c>
      <c r="BM305" s="313">
        <v>468100</v>
      </c>
      <c r="BN305" s="282">
        <f>IF(BM305="nincs","nincs",ROUND(BM305/1.27,0))</f>
        <v>368583</v>
      </c>
      <c r="BO305" s="313">
        <v>471900</v>
      </c>
      <c r="BP305" s="282">
        <f t="shared" si="63"/>
        <v>371575</v>
      </c>
      <c r="BQ305" s="313">
        <v>523900</v>
      </c>
      <c r="BR305" s="282">
        <f t="shared" si="24"/>
        <v>412520</v>
      </c>
      <c r="BS305" s="313">
        <v>411400</v>
      </c>
      <c r="BT305" s="282">
        <f t="shared" si="25"/>
        <v>323937</v>
      </c>
      <c r="BU305" s="313">
        <v>442200</v>
      </c>
      <c r="BV305" s="282">
        <f t="shared" si="26"/>
        <v>348189</v>
      </c>
      <c r="BW305" s="313">
        <v>498000</v>
      </c>
      <c r="BX305" s="282">
        <f t="shared" si="27"/>
        <v>392126</v>
      </c>
      <c r="BZ305" s="313">
        <v>404600</v>
      </c>
      <c r="CA305" s="282">
        <f t="shared" si="28"/>
        <v>318583</v>
      </c>
      <c r="CB305" s="313">
        <v>459200</v>
      </c>
      <c r="CC305" s="282">
        <f t="shared" si="29"/>
        <v>361575</v>
      </c>
      <c r="CD305" s="313">
        <v>437000</v>
      </c>
      <c r="CE305" s="282">
        <f t="shared" si="30"/>
        <v>344094</v>
      </c>
      <c r="CF305" s="313">
        <v>491600</v>
      </c>
      <c r="CG305" s="282">
        <f t="shared" si="31"/>
        <v>387087</v>
      </c>
      <c r="CH305" s="313">
        <v>495600</v>
      </c>
      <c r="CI305" s="282">
        <f t="shared" si="32"/>
        <v>390236</v>
      </c>
      <c r="CJ305" s="313">
        <v>550200</v>
      </c>
      <c r="CK305" s="282">
        <f t="shared" si="33"/>
        <v>433228</v>
      </c>
      <c r="CL305" s="313">
        <v>431900</v>
      </c>
      <c r="CM305" s="282">
        <f t="shared" si="34"/>
        <v>340079</v>
      </c>
      <c r="CN305" s="313">
        <v>464300</v>
      </c>
      <c r="CO305" s="282">
        <f t="shared" si="35"/>
        <v>365591</v>
      </c>
      <c r="CP305" s="313">
        <v>522900</v>
      </c>
      <c r="CQ305" s="282">
        <f t="shared" si="36"/>
        <v>411732</v>
      </c>
    </row>
    <row r="306" spans="1:95" s="56" customFormat="1" x14ac:dyDescent="0.3">
      <c r="A306" s="66">
        <v>19</v>
      </c>
      <c r="B306" s="71" t="s">
        <v>142</v>
      </c>
      <c r="C306" s="199" t="s">
        <v>84</v>
      </c>
      <c r="D306" s="199" t="s">
        <v>84</v>
      </c>
      <c r="E306" s="199" t="s">
        <v>84</v>
      </c>
      <c r="F306" s="199" t="s">
        <v>84</v>
      </c>
      <c r="G306" s="112">
        <f t="shared" si="37"/>
        <v>65600</v>
      </c>
      <c r="H306" s="255" t="s">
        <v>84</v>
      </c>
      <c r="I306" s="255" t="s">
        <v>84</v>
      </c>
      <c r="J306" s="255" t="s">
        <v>84</v>
      </c>
      <c r="K306" s="280">
        <v>335500</v>
      </c>
      <c r="L306" s="280">
        <v>391400</v>
      </c>
      <c r="M306" s="280">
        <v>335500</v>
      </c>
      <c r="N306" s="280">
        <f t="shared" si="38"/>
        <v>391400</v>
      </c>
      <c r="O306" s="280" t="s">
        <v>84</v>
      </c>
      <c r="P306" s="255" t="s">
        <v>84</v>
      </c>
      <c r="Q306" s="255" t="s">
        <v>84</v>
      </c>
      <c r="R306" s="255" t="s">
        <v>84</v>
      </c>
      <c r="S306" s="192" t="s">
        <v>89</v>
      </c>
      <c r="T306" s="193" t="s">
        <v>61</v>
      </c>
      <c r="U306" s="192">
        <v>3200</v>
      </c>
      <c r="V306" s="192">
        <v>1</v>
      </c>
      <c r="W306" s="217">
        <f t="shared" si="39"/>
        <v>123200</v>
      </c>
      <c r="X306" s="192">
        <v>2500</v>
      </c>
      <c r="Y306" s="192">
        <v>2080</v>
      </c>
      <c r="Z306" s="192" t="s">
        <v>91</v>
      </c>
      <c r="AA306" s="192">
        <v>100</v>
      </c>
      <c r="AB306" s="192">
        <v>125</v>
      </c>
      <c r="AC306" s="217">
        <f t="shared" si="41"/>
        <v>65000</v>
      </c>
      <c r="AD306" s="192">
        <v>0</v>
      </c>
      <c r="AE306" s="197" t="s">
        <v>84</v>
      </c>
      <c r="AF306" s="216">
        <f t="shared" si="13"/>
        <v>43100</v>
      </c>
      <c r="AG306" s="224">
        <f t="shared" ca="1" si="14"/>
        <v>471100</v>
      </c>
      <c r="AH306" s="224">
        <f t="shared" ca="1" si="15"/>
        <v>544466.52380952379</v>
      </c>
      <c r="AI306" s="216">
        <f t="shared" si="16"/>
        <v>104400</v>
      </c>
      <c r="AJ306" s="198">
        <v>4</v>
      </c>
      <c r="AK306" s="198" t="s">
        <v>244</v>
      </c>
      <c r="AL306" s="216">
        <f t="shared" si="64"/>
        <v>123200</v>
      </c>
      <c r="AM306" s="216">
        <f t="shared" si="65"/>
        <v>166300</v>
      </c>
      <c r="AN306" s="230" t="str">
        <f t="shared" ca="1" si="43"/>
        <v>nincs</v>
      </c>
      <c r="AO306" s="230" t="str">
        <f t="shared" ca="1" si="44"/>
        <v>nincs</v>
      </c>
      <c r="AP306" s="230" t="str">
        <f t="shared" ca="1" si="45"/>
        <v>nincs</v>
      </c>
      <c r="AQ306" s="230" t="str">
        <f t="shared" ca="1" si="46"/>
        <v>nincs</v>
      </c>
      <c r="AR306" s="230" t="str">
        <f t="shared" ca="1" si="47"/>
        <v>nincs</v>
      </c>
      <c r="AS306" s="230" t="str">
        <f t="shared" ca="1" si="48"/>
        <v>nincs</v>
      </c>
      <c r="AT306" s="230" t="str">
        <f t="shared" ca="1" si="49"/>
        <v>nincs</v>
      </c>
      <c r="AU306" s="230" t="str">
        <f t="shared" ca="1" si="50"/>
        <v>nincs</v>
      </c>
      <c r="AV306" s="230" t="str">
        <f t="shared" ca="1" si="51"/>
        <v>nincs</v>
      </c>
      <c r="AW306" s="230" t="str">
        <f t="shared" ca="1" si="52"/>
        <v>nincs</v>
      </c>
      <c r="AX306" s="230" t="str">
        <f t="shared" ca="1" si="53"/>
        <v>nincs</v>
      </c>
      <c r="AY306" s="230" t="str">
        <f t="shared" ca="1" si="54"/>
        <v>nincs</v>
      </c>
      <c r="AZ306" s="230" t="str">
        <f t="shared" ca="1" si="55"/>
        <v>nincs</v>
      </c>
      <c r="BA306" s="230" t="str">
        <f t="shared" ca="1" si="56"/>
        <v>nincs</v>
      </c>
      <c r="BB306" s="230" t="str">
        <f t="shared" ca="1" si="57"/>
        <v>nincs</v>
      </c>
      <c r="BC306" s="230" t="str">
        <f t="shared" ca="1" si="58"/>
        <v>nincs</v>
      </c>
      <c r="BD306" s="230" t="str">
        <f t="shared" ca="1" si="59"/>
        <v>nincs</v>
      </c>
      <c r="BE306" s="230" t="str">
        <f t="shared" ca="1" si="60"/>
        <v>nincs</v>
      </c>
      <c r="BG306" s="313" t="s">
        <v>84</v>
      </c>
      <c r="BH306" s="282" t="str">
        <f t="shared" ref="BH306" si="66">IF(BG306="nincs","nincs",ROUND(BG306/1.27,0))</f>
        <v>nincs</v>
      </c>
      <c r="BI306" s="313" t="s">
        <v>84</v>
      </c>
      <c r="BJ306" s="282" t="str">
        <f t="shared" ref="BJ306" si="67">IF(BI306="nincs","nincs",ROUND(BI306/1.27,0))</f>
        <v>nincs</v>
      </c>
      <c r="BK306" s="313" t="s">
        <v>84</v>
      </c>
      <c r="BL306" s="282" t="str">
        <f t="shared" ref="BL306:BL320" si="68">IF(BK306="nincs","nincs",ROUND(BK306/1.27,0))</f>
        <v>nincs</v>
      </c>
      <c r="BM306" s="313" t="s">
        <v>84</v>
      </c>
      <c r="BN306" s="282" t="str">
        <f t="shared" ref="BN306:BN358" si="69">IF(BM306="nincs","nincs",ROUND(BM306/1.27,0))</f>
        <v>nincs</v>
      </c>
      <c r="BO306" s="313" t="s">
        <v>84</v>
      </c>
      <c r="BP306" s="282" t="str">
        <f t="shared" si="63"/>
        <v>nincs</v>
      </c>
      <c r="BQ306" s="313" t="s">
        <v>84</v>
      </c>
      <c r="BR306" s="282" t="str">
        <f t="shared" si="24"/>
        <v>nincs</v>
      </c>
      <c r="BS306" s="313" t="s">
        <v>84</v>
      </c>
      <c r="BT306" s="282" t="str">
        <f t="shared" si="25"/>
        <v>nincs</v>
      </c>
      <c r="BU306" s="313" t="s">
        <v>84</v>
      </c>
      <c r="BV306" s="282" t="str">
        <f t="shared" si="26"/>
        <v>nincs</v>
      </c>
      <c r="BW306" s="313" t="s">
        <v>84</v>
      </c>
      <c r="BX306" s="282" t="str">
        <f t="shared" si="27"/>
        <v>nincs</v>
      </c>
      <c r="BZ306" s="313" t="s">
        <v>84</v>
      </c>
      <c r="CA306" s="282" t="str">
        <f t="shared" si="28"/>
        <v>nincs</v>
      </c>
      <c r="CB306" s="313" t="s">
        <v>84</v>
      </c>
      <c r="CC306" s="282" t="str">
        <f t="shared" si="29"/>
        <v>nincs</v>
      </c>
      <c r="CD306" s="313" t="s">
        <v>84</v>
      </c>
      <c r="CE306" s="282" t="str">
        <f t="shared" si="30"/>
        <v>nincs</v>
      </c>
      <c r="CF306" s="313" t="s">
        <v>84</v>
      </c>
      <c r="CG306" s="282" t="str">
        <f t="shared" si="31"/>
        <v>nincs</v>
      </c>
      <c r="CH306" s="313" t="s">
        <v>84</v>
      </c>
      <c r="CI306" s="282" t="str">
        <f t="shared" si="32"/>
        <v>nincs</v>
      </c>
      <c r="CJ306" s="313" t="s">
        <v>84</v>
      </c>
      <c r="CK306" s="282" t="str">
        <f t="shared" si="33"/>
        <v>nincs</v>
      </c>
      <c r="CL306" s="313" t="s">
        <v>84</v>
      </c>
      <c r="CM306" s="282" t="str">
        <f t="shared" si="34"/>
        <v>nincs</v>
      </c>
      <c r="CN306" s="313" t="s">
        <v>84</v>
      </c>
      <c r="CO306" s="282" t="str">
        <f t="shared" si="35"/>
        <v>nincs</v>
      </c>
      <c r="CP306" s="313" t="s">
        <v>84</v>
      </c>
      <c r="CQ306" s="282" t="str">
        <f t="shared" si="36"/>
        <v>nincs</v>
      </c>
    </row>
    <row r="307" spans="1:95" s="56" customFormat="1" x14ac:dyDescent="0.3">
      <c r="A307" s="68">
        <v>20</v>
      </c>
      <c r="B307" s="71" t="s">
        <v>375</v>
      </c>
      <c r="C307" s="199" t="s">
        <v>84</v>
      </c>
      <c r="D307" s="199" t="s">
        <v>84</v>
      </c>
      <c r="E307" s="199" t="s">
        <v>84</v>
      </c>
      <c r="F307" s="199" t="s">
        <v>84</v>
      </c>
      <c r="G307" s="112">
        <f t="shared" si="37"/>
        <v>65600</v>
      </c>
      <c r="H307" s="255">
        <v>489300</v>
      </c>
      <c r="I307" s="255">
        <v>371900</v>
      </c>
      <c r="J307" s="255">
        <v>429000</v>
      </c>
      <c r="K307" s="280">
        <v>335500</v>
      </c>
      <c r="L307" s="280">
        <v>392700</v>
      </c>
      <c r="M307" s="280">
        <v>335500</v>
      </c>
      <c r="N307" s="280">
        <f t="shared" si="38"/>
        <v>392700</v>
      </c>
      <c r="O307" s="280">
        <v>430100</v>
      </c>
      <c r="P307" s="255">
        <v>389100</v>
      </c>
      <c r="Q307" s="255">
        <v>446200</v>
      </c>
      <c r="R307" s="255" t="s">
        <v>84</v>
      </c>
      <c r="S307" s="192" t="s">
        <v>89</v>
      </c>
      <c r="T307" s="193" t="s">
        <v>61</v>
      </c>
      <c r="U307" s="192">
        <v>3200</v>
      </c>
      <c r="V307" s="192">
        <v>1</v>
      </c>
      <c r="W307" s="217">
        <f t="shared" si="39"/>
        <v>123200</v>
      </c>
      <c r="X307" s="192">
        <v>2500</v>
      </c>
      <c r="Y307" s="192">
        <v>2125</v>
      </c>
      <c r="Z307" s="192" t="s">
        <v>91</v>
      </c>
      <c r="AA307" s="192">
        <v>100</v>
      </c>
      <c r="AB307" s="192">
        <v>125</v>
      </c>
      <c r="AC307" s="217">
        <f t="shared" si="41"/>
        <v>65000</v>
      </c>
      <c r="AD307" s="192">
        <v>0</v>
      </c>
      <c r="AE307" s="197" t="s">
        <v>84</v>
      </c>
      <c r="AF307" s="216">
        <f t="shared" si="13"/>
        <v>43100</v>
      </c>
      <c r="AG307" s="224">
        <f t="shared" ca="1" si="14"/>
        <v>471100</v>
      </c>
      <c r="AH307" s="224">
        <f t="shared" ca="1" si="15"/>
        <v>544466.52380952379</v>
      </c>
      <c r="AI307" s="216">
        <f t="shared" si="16"/>
        <v>104400</v>
      </c>
      <c r="AJ307" s="198">
        <v>4</v>
      </c>
      <c r="AK307" s="198" t="s">
        <v>244</v>
      </c>
      <c r="AL307" s="216">
        <f t="shared" si="64"/>
        <v>123200</v>
      </c>
      <c r="AM307" s="216">
        <f t="shared" si="65"/>
        <v>166300</v>
      </c>
      <c r="AN307" s="230">
        <f t="shared" ca="1" si="43"/>
        <v>405400</v>
      </c>
      <c r="AO307" s="230">
        <f t="shared" ca="1" si="44"/>
        <v>319213</v>
      </c>
      <c r="AP307" s="230">
        <f t="shared" ca="1" si="45"/>
        <v>459900</v>
      </c>
      <c r="AQ307" s="230">
        <f t="shared" ca="1" si="46"/>
        <v>362126</v>
      </c>
      <c r="AR307" s="230">
        <f t="shared" ca="1" si="47"/>
        <v>437800</v>
      </c>
      <c r="AS307" s="230">
        <f t="shared" ca="1" si="48"/>
        <v>344724</v>
      </c>
      <c r="AT307" s="230">
        <f t="shared" ca="1" si="49"/>
        <v>492300</v>
      </c>
      <c r="AU307" s="230">
        <f t="shared" ca="1" si="50"/>
        <v>387638</v>
      </c>
      <c r="AV307" s="230">
        <f t="shared" ca="1" si="51"/>
        <v>496300</v>
      </c>
      <c r="AW307" s="230">
        <f t="shared" ca="1" si="52"/>
        <v>390787</v>
      </c>
      <c r="AX307" s="230">
        <f t="shared" ca="1" si="53"/>
        <v>550800</v>
      </c>
      <c r="AY307" s="230">
        <f t="shared" ca="1" si="54"/>
        <v>433701</v>
      </c>
      <c r="AZ307" s="230">
        <f t="shared" ca="1" si="55"/>
        <v>432600</v>
      </c>
      <c r="BA307" s="230">
        <f t="shared" ca="1" si="56"/>
        <v>340630</v>
      </c>
      <c r="BB307" s="230">
        <f t="shared" ca="1" si="57"/>
        <v>464900</v>
      </c>
      <c r="BC307" s="230">
        <f t="shared" ca="1" si="58"/>
        <v>366063</v>
      </c>
      <c r="BD307" s="230">
        <f t="shared" ca="1" si="59"/>
        <v>523500</v>
      </c>
      <c r="BE307" s="230">
        <f t="shared" ca="1" si="60"/>
        <v>412205</v>
      </c>
      <c r="BG307" s="313">
        <v>386100</v>
      </c>
      <c r="BH307" s="282">
        <f>IF(BG307="nincs","nincs",ROUND(BG307/1.27,0))</f>
        <v>304016</v>
      </c>
      <c r="BI307" s="313">
        <v>438200</v>
      </c>
      <c r="BJ307" s="282">
        <f>IF(BI307="nincs","nincs",ROUND(BI307/1.27,0))</f>
        <v>345039</v>
      </c>
      <c r="BK307" s="313">
        <v>416900</v>
      </c>
      <c r="BL307" s="282">
        <f t="shared" si="68"/>
        <v>328268</v>
      </c>
      <c r="BM307" s="313">
        <v>469000</v>
      </c>
      <c r="BN307" s="282">
        <f t="shared" si="69"/>
        <v>369291</v>
      </c>
      <c r="BO307" s="313">
        <v>472700</v>
      </c>
      <c r="BP307" s="282">
        <f>IF(BO307="nincs","nincs",ROUND(BO307/1.27,0))</f>
        <v>372205</v>
      </c>
      <c r="BQ307" s="313">
        <v>524800</v>
      </c>
      <c r="BR307" s="282">
        <f t="shared" si="24"/>
        <v>413228</v>
      </c>
      <c r="BS307" s="313">
        <v>412100</v>
      </c>
      <c r="BT307" s="282">
        <f t="shared" si="25"/>
        <v>324488</v>
      </c>
      <c r="BU307" s="313">
        <v>443000</v>
      </c>
      <c r="BV307" s="282">
        <f t="shared" si="26"/>
        <v>348819</v>
      </c>
      <c r="BW307" s="313">
        <v>498700</v>
      </c>
      <c r="BX307" s="282">
        <f t="shared" si="27"/>
        <v>392677</v>
      </c>
      <c r="BZ307" s="313">
        <v>405400</v>
      </c>
      <c r="CA307" s="282">
        <f t="shared" si="28"/>
        <v>319213</v>
      </c>
      <c r="CB307" s="313">
        <v>459900</v>
      </c>
      <c r="CC307" s="282">
        <f t="shared" si="29"/>
        <v>362126</v>
      </c>
      <c r="CD307" s="313">
        <v>437800</v>
      </c>
      <c r="CE307" s="282">
        <f t="shared" si="30"/>
        <v>344724</v>
      </c>
      <c r="CF307" s="313">
        <v>492300</v>
      </c>
      <c r="CG307" s="282">
        <f t="shared" si="31"/>
        <v>387638</v>
      </c>
      <c r="CH307" s="313">
        <v>496300</v>
      </c>
      <c r="CI307" s="282">
        <f t="shared" si="32"/>
        <v>390787</v>
      </c>
      <c r="CJ307" s="313">
        <v>550800</v>
      </c>
      <c r="CK307" s="282">
        <f t="shared" si="33"/>
        <v>433701</v>
      </c>
      <c r="CL307" s="313">
        <v>432600</v>
      </c>
      <c r="CM307" s="282">
        <f t="shared" si="34"/>
        <v>340630</v>
      </c>
      <c r="CN307" s="313">
        <v>464900</v>
      </c>
      <c r="CO307" s="282">
        <f t="shared" si="35"/>
        <v>366063</v>
      </c>
      <c r="CP307" s="313">
        <v>523500</v>
      </c>
      <c r="CQ307" s="282">
        <f t="shared" si="36"/>
        <v>412205</v>
      </c>
    </row>
    <row r="308" spans="1:95" s="56" customFormat="1" x14ac:dyDescent="0.3">
      <c r="A308" s="66">
        <v>21</v>
      </c>
      <c r="B308" s="71" t="s">
        <v>376</v>
      </c>
      <c r="C308" s="199" t="s">
        <v>84</v>
      </c>
      <c r="D308" s="199" t="s">
        <v>84</v>
      </c>
      <c r="E308" s="199" t="s">
        <v>84</v>
      </c>
      <c r="F308" s="199" t="s">
        <v>84</v>
      </c>
      <c r="G308" s="112">
        <f t="shared" si="37"/>
        <v>65600</v>
      </c>
      <c r="H308" s="255">
        <v>503600</v>
      </c>
      <c r="I308" s="255">
        <v>377500</v>
      </c>
      <c r="J308" s="255">
        <v>438000</v>
      </c>
      <c r="K308" s="280">
        <v>341600</v>
      </c>
      <c r="L308" s="280">
        <v>402100</v>
      </c>
      <c r="M308" s="280">
        <v>341600</v>
      </c>
      <c r="N308" s="280">
        <f t="shared" si="38"/>
        <v>402100</v>
      </c>
      <c r="O308" s="280">
        <v>445700</v>
      </c>
      <c r="P308" s="255">
        <v>405700</v>
      </c>
      <c r="Q308" s="255">
        <v>466200</v>
      </c>
      <c r="R308" s="255" t="s">
        <v>84</v>
      </c>
      <c r="S308" s="192" t="s">
        <v>89</v>
      </c>
      <c r="T308" s="194" t="s">
        <v>62</v>
      </c>
      <c r="U308" s="193">
        <v>3450</v>
      </c>
      <c r="V308" s="192">
        <v>1</v>
      </c>
      <c r="W308" s="217">
        <f t="shared" si="39"/>
        <v>133300</v>
      </c>
      <c r="X308" s="192">
        <v>2500</v>
      </c>
      <c r="Y308" s="192">
        <v>2250</v>
      </c>
      <c r="Z308" s="192" t="s">
        <v>91</v>
      </c>
      <c r="AA308" s="192">
        <v>100</v>
      </c>
      <c r="AB308" s="192">
        <v>125</v>
      </c>
      <c r="AC308" s="217">
        <f t="shared" si="41"/>
        <v>65000</v>
      </c>
      <c r="AD308" s="192">
        <v>0</v>
      </c>
      <c r="AE308" s="197" t="s">
        <v>84</v>
      </c>
      <c r="AF308" s="216">
        <f t="shared" si="13"/>
        <v>43100</v>
      </c>
      <c r="AG308" s="224">
        <f t="shared" ca="1" si="14"/>
        <v>471100</v>
      </c>
      <c r="AH308" s="224">
        <f t="shared" ca="1" si="15"/>
        <v>544466.52380952379</v>
      </c>
      <c r="AI308" s="216">
        <f t="shared" si="16"/>
        <v>104400</v>
      </c>
      <c r="AJ308" s="198">
        <v>4</v>
      </c>
      <c r="AK308" s="198" t="s">
        <v>244</v>
      </c>
      <c r="AL308" s="216">
        <f>$J$135</f>
        <v>133300</v>
      </c>
      <c r="AM308" s="216">
        <f>$J$138</f>
        <v>176400</v>
      </c>
      <c r="AN308" s="230">
        <f t="shared" ca="1" si="43"/>
        <v>429300</v>
      </c>
      <c r="AO308" s="230">
        <f t="shared" ca="1" si="44"/>
        <v>338031</v>
      </c>
      <c r="AP308" s="230">
        <f t="shared" ca="1" si="45"/>
        <v>484400</v>
      </c>
      <c r="AQ308" s="230">
        <f t="shared" ca="1" si="46"/>
        <v>381417</v>
      </c>
      <c r="AR308" s="230">
        <f t="shared" ca="1" si="47"/>
        <v>461600</v>
      </c>
      <c r="AS308" s="230">
        <f t="shared" ca="1" si="48"/>
        <v>363465</v>
      </c>
      <c r="AT308" s="230">
        <f t="shared" ca="1" si="49"/>
        <v>516800</v>
      </c>
      <c r="AU308" s="230">
        <f t="shared" ca="1" si="50"/>
        <v>406929</v>
      </c>
      <c r="AV308" s="230">
        <f t="shared" ca="1" si="51"/>
        <v>520200</v>
      </c>
      <c r="AW308" s="230">
        <f t="shared" ca="1" si="52"/>
        <v>409606</v>
      </c>
      <c r="AX308" s="230">
        <f t="shared" ca="1" si="53"/>
        <v>575300</v>
      </c>
      <c r="AY308" s="230">
        <f t="shared" ca="1" si="54"/>
        <v>452992</v>
      </c>
      <c r="AZ308" s="230">
        <f t="shared" ca="1" si="55"/>
        <v>456600</v>
      </c>
      <c r="BA308" s="230">
        <f t="shared" ca="1" si="56"/>
        <v>359528</v>
      </c>
      <c r="BB308" s="230">
        <f t="shared" ca="1" si="57"/>
        <v>489000</v>
      </c>
      <c r="BC308" s="230">
        <f t="shared" ca="1" si="58"/>
        <v>385039</v>
      </c>
      <c r="BD308" s="230">
        <f t="shared" ca="1" si="59"/>
        <v>547500</v>
      </c>
      <c r="BE308" s="230">
        <f t="shared" ca="1" si="60"/>
        <v>431102</v>
      </c>
      <c r="BG308" s="313">
        <v>408900</v>
      </c>
      <c r="BH308" s="282">
        <f>IF(BG308="nincs","nincs",ROUND(BG308/1.27,0))</f>
        <v>321969</v>
      </c>
      <c r="BI308" s="313">
        <v>461400</v>
      </c>
      <c r="BJ308" s="282">
        <f>IF(BI308="nincs","nincs",ROUND(BI308/1.27,0))</f>
        <v>363307</v>
      </c>
      <c r="BK308" s="313">
        <v>439800</v>
      </c>
      <c r="BL308" s="282">
        <f t="shared" si="68"/>
        <v>346299</v>
      </c>
      <c r="BM308" s="313">
        <v>492300</v>
      </c>
      <c r="BN308" s="282">
        <f t="shared" si="69"/>
        <v>387638</v>
      </c>
      <c r="BO308" s="313">
        <v>495600</v>
      </c>
      <c r="BP308" s="282">
        <f>IF(BO308="nincs","nincs",ROUND(BO308/1.27,0))</f>
        <v>390236</v>
      </c>
      <c r="BQ308" s="313">
        <v>548000</v>
      </c>
      <c r="BR308" s="282">
        <f t="shared" si="24"/>
        <v>431496</v>
      </c>
      <c r="BS308" s="313">
        <v>434800</v>
      </c>
      <c r="BT308" s="282">
        <f t="shared" si="25"/>
        <v>342362</v>
      </c>
      <c r="BU308" s="313">
        <v>465700</v>
      </c>
      <c r="BV308" s="282">
        <f t="shared" si="26"/>
        <v>366693</v>
      </c>
      <c r="BW308" s="313">
        <v>521500</v>
      </c>
      <c r="BX308" s="282">
        <f t="shared" si="27"/>
        <v>410630</v>
      </c>
      <c r="BZ308" s="313">
        <v>429300</v>
      </c>
      <c r="CA308" s="282">
        <f t="shared" si="28"/>
        <v>338031</v>
      </c>
      <c r="CB308" s="313">
        <v>484400</v>
      </c>
      <c r="CC308" s="282">
        <f t="shared" si="29"/>
        <v>381417</v>
      </c>
      <c r="CD308" s="313">
        <v>461600</v>
      </c>
      <c r="CE308" s="282">
        <f t="shared" si="30"/>
        <v>363465</v>
      </c>
      <c r="CF308" s="313">
        <v>516800</v>
      </c>
      <c r="CG308" s="282">
        <f t="shared" si="31"/>
        <v>406929</v>
      </c>
      <c r="CH308" s="313">
        <v>520200</v>
      </c>
      <c r="CI308" s="282">
        <f t="shared" si="32"/>
        <v>409606</v>
      </c>
      <c r="CJ308" s="313">
        <v>575300</v>
      </c>
      <c r="CK308" s="282">
        <f t="shared" si="33"/>
        <v>452992</v>
      </c>
      <c r="CL308" s="313">
        <v>456600</v>
      </c>
      <c r="CM308" s="282">
        <f t="shared" si="34"/>
        <v>359528</v>
      </c>
      <c r="CN308" s="313">
        <v>489000</v>
      </c>
      <c r="CO308" s="282">
        <f t="shared" si="35"/>
        <v>385039</v>
      </c>
      <c r="CP308" s="313">
        <v>547500</v>
      </c>
      <c r="CQ308" s="282">
        <f t="shared" si="36"/>
        <v>431102</v>
      </c>
    </row>
    <row r="309" spans="1:95" s="56" customFormat="1" x14ac:dyDescent="0.3">
      <c r="A309" s="68">
        <v>22</v>
      </c>
      <c r="B309" s="71" t="s">
        <v>67</v>
      </c>
      <c r="C309" s="199" t="s">
        <v>84</v>
      </c>
      <c r="D309" s="199" t="s">
        <v>84</v>
      </c>
      <c r="E309" s="199" t="s">
        <v>84</v>
      </c>
      <c r="F309" s="199" t="s">
        <v>84</v>
      </c>
      <c r="G309" s="112">
        <f t="shared" si="37"/>
        <v>65600</v>
      </c>
      <c r="H309" s="255">
        <v>528700</v>
      </c>
      <c r="I309" s="255">
        <v>400100</v>
      </c>
      <c r="J309" s="255">
        <v>463900</v>
      </c>
      <c r="K309" s="280">
        <v>361100</v>
      </c>
      <c r="L309" s="280">
        <v>424900</v>
      </c>
      <c r="M309" s="280">
        <v>361100</v>
      </c>
      <c r="N309" s="280">
        <f t="shared" si="38"/>
        <v>424900</v>
      </c>
      <c r="O309" s="280">
        <v>475400</v>
      </c>
      <c r="P309" s="255">
        <v>425700</v>
      </c>
      <c r="Q309" s="255">
        <v>489500</v>
      </c>
      <c r="R309" s="255" t="s">
        <v>84</v>
      </c>
      <c r="S309" s="192" t="s">
        <v>89</v>
      </c>
      <c r="T309" s="194" t="s">
        <v>62</v>
      </c>
      <c r="U309" s="193">
        <v>3450</v>
      </c>
      <c r="V309" s="192">
        <v>1</v>
      </c>
      <c r="W309" s="217">
        <f t="shared" si="39"/>
        <v>133300</v>
      </c>
      <c r="X309" s="192">
        <v>2500</v>
      </c>
      <c r="Y309" s="192">
        <v>2375</v>
      </c>
      <c r="Z309" s="192" t="s">
        <v>91</v>
      </c>
      <c r="AA309" s="192">
        <v>100</v>
      </c>
      <c r="AB309" s="192">
        <v>125</v>
      </c>
      <c r="AC309" s="217">
        <f t="shared" si="41"/>
        <v>65000</v>
      </c>
      <c r="AD309" s="192">
        <v>0</v>
      </c>
      <c r="AE309" s="197" t="s">
        <v>84</v>
      </c>
      <c r="AF309" s="216">
        <f t="shared" si="13"/>
        <v>43100</v>
      </c>
      <c r="AG309" s="224">
        <f t="shared" ca="1" si="14"/>
        <v>471100</v>
      </c>
      <c r="AH309" s="224">
        <f t="shared" ca="1" si="15"/>
        <v>544466.52380952379</v>
      </c>
      <c r="AI309" s="216">
        <f t="shared" si="16"/>
        <v>104400</v>
      </c>
      <c r="AJ309" s="198">
        <v>4</v>
      </c>
      <c r="AK309" s="198" t="s">
        <v>244</v>
      </c>
      <c r="AL309" s="216">
        <f>$J$135</f>
        <v>133300</v>
      </c>
      <c r="AM309" s="216">
        <f>$J$138</f>
        <v>176400</v>
      </c>
      <c r="AN309" s="230" t="str">
        <f t="shared" ca="1" si="43"/>
        <v>nincs</v>
      </c>
      <c r="AO309" s="230" t="str">
        <f t="shared" ca="1" si="44"/>
        <v>nincs</v>
      </c>
      <c r="AP309" s="230" t="str">
        <f t="shared" ca="1" si="45"/>
        <v>nincs</v>
      </c>
      <c r="AQ309" s="230" t="str">
        <f t="shared" ca="1" si="46"/>
        <v>nincs</v>
      </c>
      <c r="AR309" s="230" t="str">
        <f t="shared" ca="1" si="47"/>
        <v>nincs</v>
      </c>
      <c r="AS309" s="230" t="str">
        <f t="shared" ca="1" si="48"/>
        <v>nincs</v>
      </c>
      <c r="AT309" s="230" t="str">
        <f t="shared" ca="1" si="49"/>
        <v>nincs</v>
      </c>
      <c r="AU309" s="230" t="str">
        <f t="shared" ca="1" si="50"/>
        <v>nincs</v>
      </c>
      <c r="AV309" s="230" t="str">
        <f t="shared" ca="1" si="51"/>
        <v>nincs</v>
      </c>
      <c r="AW309" s="230" t="str">
        <f t="shared" ca="1" si="52"/>
        <v>nincs</v>
      </c>
      <c r="AX309" s="230" t="str">
        <f t="shared" ca="1" si="53"/>
        <v>nincs</v>
      </c>
      <c r="AY309" s="230" t="str">
        <f t="shared" ca="1" si="54"/>
        <v>nincs</v>
      </c>
      <c r="AZ309" s="230" t="str">
        <f t="shared" ca="1" si="55"/>
        <v>nincs</v>
      </c>
      <c r="BA309" s="230" t="str">
        <f t="shared" ca="1" si="56"/>
        <v>nincs</v>
      </c>
      <c r="BB309" s="230" t="str">
        <f t="shared" ca="1" si="57"/>
        <v>nincs</v>
      </c>
      <c r="BC309" s="230" t="str">
        <f t="shared" ca="1" si="58"/>
        <v>nincs</v>
      </c>
      <c r="BD309" s="230" t="str">
        <f t="shared" ca="1" si="59"/>
        <v>nincs</v>
      </c>
      <c r="BE309" s="230" t="str">
        <f t="shared" ca="1" si="60"/>
        <v>nincs</v>
      </c>
      <c r="BG309" s="313" t="s">
        <v>84</v>
      </c>
      <c r="BH309" s="282" t="str">
        <f t="shared" ref="BH309" si="70">IF(BG309="nincs","nincs",ROUND(BG309/1.27,0))</f>
        <v>nincs</v>
      </c>
      <c r="BI309" s="313" t="s">
        <v>84</v>
      </c>
      <c r="BJ309" s="282" t="str">
        <f t="shared" ref="BJ309" si="71">IF(BI309="nincs","nincs",ROUND(BI309/1.27,0))</f>
        <v>nincs</v>
      </c>
      <c r="BK309" s="313" t="s">
        <v>84</v>
      </c>
      <c r="BL309" s="282" t="str">
        <f t="shared" si="68"/>
        <v>nincs</v>
      </c>
      <c r="BM309" s="313" t="s">
        <v>84</v>
      </c>
      <c r="BN309" s="282" t="str">
        <f t="shared" si="69"/>
        <v>nincs</v>
      </c>
      <c r="BO309" s="313" t="s">
        <v>84</v>
      </c>
      <c r="BP309" s="282" t="str">
        <f t="shared" ref="BP309" si="72">IF(BO309="nincs","nincs",ROUND(BO309/1.27,0))</f>
        <v>nincs</v>
      </c>
      <c r="BQ309" s="313" t="s">
        <v>84</v>
      </c>
      <c r="BR309" s="282" t="str">
        <f t="shared" si="24"/>
        <v>nincs</v>
      </c>
      <c r="BS309" s="313" t="s">
        <v>84</v>
      </c>
      <c r="BT309" s="282" t="str">
        <f t="shared" si="25"/>
        <v>nincs</v>
      </c>
      <c r="BU309" s="313" t="s">
        <v>84</v>
      </c>
      <c r="BV309" s="282" t="str">
        <f t="shared" si="26"/>
        <v>nincs</v>
      </c>
      <c r="BW309" s="313" t="s">
        <v>84</v>
      </c>
      <c r="BX309" s="282" t="str">
        <f t="shared" si="27"/>
        <v>nincs</v>
      </c>
      <c r="BZ309" s="313" t="s">
        <v>84</v>
      </c>
      <c r="CA309" s="282" t="str">
        <f t="shared" si="28"/>
        <v>nincs</v>
      </c>
      <c r="CB309" s="313" t="s">
        <v>84</v>
      </c>
      <c r="CC309" s="282" t="str">
        <f t="shared" si="29"/>
        <v>nincs</v>
      </c>
      <c r="CD309" s="313" t="s">
        <v>84</v>
      </c>
      <c r="CE309" s="282" t="str">
        <f t="shared" si="30"/>
        <v>nincs</v>
      </c>
      <c r="CF309" s="313" t="s">
        <v>84</v>
      </c>
      <c r="CG309" s="282" t="str">
        <f t="shared" si="31"/>
        <v>nincs</v>
      </c>
      <c r="CH309" s="313" t="s">
        <v>84</v>
      </c>
      <c r="CI309" s="282" t="str">
        <f t="shared" si="32"/>
        <v>nincs</v>
      </c>
      <c r="CJ309" s="313" t="s">
        <v>84</v>
      </c>
      <c r="CK309" s="282" t="str">
        <f t="shared" si="33"/>
        <v>nincs</v>
      </c>
      <c r="CL309" s="313" t="s">
        <v>84</v>
      </c>
      <c r="CM309" s="282" t="str">
        <f t="shared" si="34"/>
        <v>nincs</v>
      </c>
      <c r="CN309" s="313" t="s">
        <v>84</v>
      </c>
      <c r="CO309" s="282" t="str">
        <f t="shared" si="35"/>
        <v>nincs</v>
      </c>
      <c r="CP309" s="313" t="s">
        <v>84</v>
      </c>
      <c r="CQ309" s="282" t="str">
        <f t="shared" si="36"/>
        <v>nincs</v>
      </c>
    </row>
    <row r="310" spans="1:95" s="56" customFormat="1" x14ac:dyDescent="0.3">
      <c r="A310" s="66">
        <v>23</v>
      </c>
      <c r="B310" s="71" t="s">
        <v>377</v>
      </c>
      <c r="C310" s="199" t="s">
        <v>84</v>
      </c>
      <c r="D310" s="199" t="s">
        <v>84</v>
      </c>
      <c r="E310" s="199" t="s">
        <v>84</v>
      </c>
      <c r="F310" s="199" t="s">
        <v>84</v>
      </c>
      <c r="G310" s="112">
        <f t="shared" si="37"/>
        <v>65600</v>
      </c>
      <c r="H310" s="255">
        <v>528200</v>
      </c>
      <c r="I310" s="255">
        <v>399300</v>
      </c>
      <c r="J310" s="255">
        <v>466700</v>
      </c>
      <c r="K310" s="280">
        <v>361400</v>
      </c>
      <c r="L310" s="280">
        <v>428800</v>
      </c>
      <c r="M310" s="280">
        <v>361400</v>
      </c>
      <c r="N310" s="280">
        <f t="shared" si="38"/>
        <v>428800</v>
      </c>
      <c r="O310" s="280">
        <v>474200</v>
      </c>
      <c r="P310" s="255">
        <v>42600</v>
      </c>
      <c r="Q310" s="255">
        <v>493400</v>
      </c>
      <c r="R310" s="255" t="s">
        <v>84</v>
      </c>
      <c r="S310" s="192" t="s">
        <v>89</v>
      </c>
      <c r="T310" s="193" t="s">
        <v>63</v>
      </c>
      <c r="U310" s="193">
        <v>4125</v>
      </c>
      <c r="V310" s="192">
        <v>1</v>
      </c>
      <c r="W310" s="217">
        <f t="shared" si="39"/>
        <v>154900</v>
      </c>
      <c r="X310" s="192">
        <v>2500</v>
      </c>
      <c r="Y310" s="192">
        <v>2500</v>
      </c>
      <c r="Z310" s="192" t="s">
        <v>91</v>
      </c>
      <c r="AA310" s="192">
        <v>100</v>
      </c>
      <c r="AB310" s="192">
        <v>125</v>
      </c>
      <c r="AC310" s="255">
        <f>58000*1.3</f>
        <v>75400</v>
      </c>
      <c r="AD310" s="192">
        <v>0</v>
      </c>
      <c r="AE310" s="197" t="s">
        <v>84</v>
      </c>
      <c r="AF310" s="216">
        <f t="shared" si="13"/>
        <v>43100</v>
      </c>
      <c r="AG310" s="224">
        <f t="shared" ca="1" si="14"/>
        <v>471100</v>
      </c>
      <c r="AH310" s="224">
        <f t="shared" ca="1" si="15"/>
        <v>544466.52380952379</v>
      </c>
      <c r="AI310" s="216">
        <f t="shared" si="16"/>
        <v>104400</v>
      </c>
      <c r="AJ310" s="198">
        <v>4</v>
      </c>
      <c r="AK310" s="198" t="s">
        <v>244</v>
      </c>
      <c r="AL310" s="216">
        <f>$J$136</f>
        <v>154900</v>
      </c>
      <c r="AM310" s="216">
        <f>$J$139</f>
        <v>198000</v>
      </c>
      <c r="AN310" s="230">
        <f t="shared" ca="1" si="43"/>
        <v>470000</v>
      </c>
      <c r="AO310" s="230">
        <f t="shared" ca="1" si="44"/>
        <v>370079</v>
      </c>
      <c r="AP310" s="230">
        <f t="shared" ca="1" si="45"/>
        <v>532500</v>
      </c>
      <c r="AQ310" s="230">
        <f t="shared" ca="1" si="46"/>
        <v>419291</v>
      </c>
      <c r="AR310" s="230">
        <f t="shared" ca="1" si="47"/>
        <v>502400</v>
      </c>
      <c r="AS310" s="230">
        <f t="shared" ca="1" si="48"/>
        <v>395591</v>
      </c>
      <c r="AT310" s="230">
        <f t="shared" ca="1" si="49"/>
        <v>564900</v>
      </c>
      <c r="AU310" s="230">
        <f t="shared" ca="1" si="50"/>
        <v>444803</v>
      </c>
      <c r="AV310" s="230">
        <f t="shared" ca="1" si="51"/>
        <v>561000</v>
      </c>
      <c r="AW310" s="230">
        <f t="shared" ca="1" si="52"/>
        <v>441732</v>
      </c>
      <c r="AX310" s="230">
        <f t="shared" ca="1" si="53"/>
        <v>623400</v>
      </c>
      <c r="AY310" s="230">
        <f t="shared" ca="1" si="54"/>
        <v>490866</v>
      </c>
      <c r="AZ310" s="230">
        <f t="shared" ca="1" si="55"/>
        <v>497300</v>
      </c>
      <c r="BA310" s="230">
        <f t="shared" ca="1" si="56"/>
        <v>391575</v>
      </c>
      <c r="BB310" s="230">
        <f t="shared" ca="1" si="57"/>
        <v>529700</v>
      </c>
      <c r="BC310" s="230">
        <f t="shared" ca="1" si="58"/>
        <v>417087</v>
      </c>
      <c r="BD310" s="230">
        <f t="shared" ca="1" si="59"/>
        <v>588300</v>
      </c>
      <c r="BE310" s="230">
        <f t="shared" ca="1" si="60"/>
        <v>463228</v>
      </c>
      <c r="BG310" s="313">
        <v>447500</v>
      </c>
      <c r="BH310" s="282">
        <f>IF(BG310="nincs","nincs",ROUND(BG310/1.27,0))</f>
        <v>352362</v>
      </c>
      <c r="BI310" s="313">
        <v>507100</v>
      </c>
      <c r="BJ310" s="282">
        <f>IF(BI310="nincs","nincs",ROUND(BI310/1.27,0))</f>
        <v>399291</v>
      </c>
      <c r="BK310" s="313">
        <v>478400</v>
      </c>
      <c r="BL310" s="282">
        <f t="shared" si="68"/>
        <v>376693</v>
      </c>
      <c r="BM310" s="313">
        <v>538000</v>
      </c>
      <c r="BN310" s="282">
        <f t="shared" si="69"/>
        <v>423622</v>
      </c>
      <c r="BO310" s="313">
        <v>534200</v>
      </c>
      <c r="BP310" s="282">
        <f>IF(BO310="nincs","nincs",ROUND(BO310/1.27,0))</f>
        <v>420630</v>
      </c>
      <c r="BQ310" s="313">
        <v>593700</v>
      </c>
      <c r="BR310" s="282">
        <f t="shared" si="24"/>
        <v>467480</v>
      </c>
      <c r="BS310" s="313">
        <v>473600</v>
      </c>
      <c r="BT310" s="282">
        <f t="shared" si="25"/>
        <v>372913</v>
      </c>
      <c r="BU310" s="313">
        <v>504400</v>
      </c>
      <c r="BV310" s="282">
        <f t="shared" si="26"/>
        <v>397165</v>
      </c>
      <c r="BW310" s="313">
        <v>560200</v>
      </c>
      <c r="BX310" s="282">
        <f t="shared" si="27"/>
        <v>441102</v>
      </c>
      <c r="BZ310" s="313">
        <v>470000</v>
      </c>
      <c r="CA310" s="282">
        <f t="shared" si="28"/>
        <v>370079</v>
      </c>
      <c r="CB310" s="313">
        <v>532500</v>
      </c>
      <c r="CC310" s="282">
        <f t="shared" si="29"/>
        <v>419291</v>
      </c>
      <c r="CD310" s="313">
        <v>502400</v>
      </c>
      <c r="CE310" s="282">
        <f t="shared" si="30"/>
        <v>395591</v>
      </c>
      <c r="CF310" s="313">
        <v>564900</v>
      </c>
      <c r="CG310" s="282">
        <f t="shared" si="31"/>
        <v>444803</v>
      </c>
      <c r="CH310" s="313">
        <v>561000</v>
      </c>
      <c r="CI310" s="282">
        <f t="shared" si="32"/>
        <v>441732</v>
      </c>
      <c r="CJ310" s="313">
        <v>623400</v>
      </c>
      <c r="CK310" s="282">
        <f t="shared" si="33"/>
        <v>490866</v>
      </c>
      <c r="CL310" s="313">
        <v>497300</v>
      </c>
      <c r="CM310" s="282">
        <f t="shared" si="34"/>
        <v>391575</v>
      </c>
      <c r="CN310" s="313">
        <v>529700</v>
      </c>
      <c r="CO310" s="282">
        <f t="shared" si="35"/>
        <v>417087</v>
      </c>
      <c r="CP310" s="313">
        <v>588300</v>
      </c>
      <c r="CQ310" s="282">
        <f t="shared" si="36"/>
        <v>463228</v>
      </c>
    </row>
    <row r="311" spans="1:95" s="56" customFormat="1" x14ac:dyDescent="0.3">
      <c r="A311" s="68">
        <v>24</v>
      </c>
      <c r="B311" s="71" t="s">
        <v>68</v>
      </c>
      <c r="C311" s="199" t="s">
        <v>84</v>
      </c>
      <c r="D311" s="199" t="s">
        <v>84</v>
      </c>
      <c r="E311" s="199" t="s">
        <v>84</v>
      </c>
      <c r="F311" s="199" t="s">
        <v>84</v>
      </c>
      <c r="G311" s="112">
        <f t="shared" si="37"/>
        <v>65600</v>
      </c>
      <c r="H311" s="255" t="s">
        <v>84</v>
      </c>
      <c r="I311" s="255">
        <v>489500</v>
      </c>
      <c r="J311" s="255">
        <v>563600</v>
      </c>
      <c r="K311" s="280">
        <v>441900</v>
      </c>
      <c r="L311" s="280">
        <v>515900</v>
      </c>
      <c r="M311" s="280">
        <v>441900</v>
      </c>
      <c r="N311" s="280">
        <f t="shared" si="38"/>
        <v>515900</v>
      </c>
      <c r="O311" s="280" t="s">
        <v>84</v>
      </c>
      <c r="P311" s="255">
        <v>461900</v>
      </c>
      <c r="Q311" s="255">
        <v>535900</v>
      </c>
      <c r="R311" s="255" t="s">
        <v>84</v>
      </c>
      <c r="S311" s="192" t="s">
        <v>89</v>
      </c>
      <c r="T311" s="193" t="s">
        <v>63</v>
      </c>
      <c r="U311" s="193">
        <v>4125</v>
      </c>
      <c r="V311" s="192">
        <v>1</v>
      </c>
      <c r="W311" s="217">
        <f t="shared" si="39"/>
        <v>154900</v>
      </c>
      <c r="X311" s="192">
        <v>2500</v>
      </c>
      <c r="Y311" s="192">
        <v>2750</v>
      </c>
      <c r="Z311" s="193" t="s">
        <v>90</v>
      </c>
      <c r="AA311" s="193">
        <v>210</v>
      </c>
      <c r="AB311" s="193">
        <v>210</v>
      </c>
      <c r="AC311" s="217">
        <f t="shared" si="41"/>
        <v>75400</v>
      </c>
      <c r="AD311" s="192">
        <v>0</v>
      </c>
      <c r="AE311" s="197" t="s">
        <v>84</v>
      </c>
      <c r="AF311" s="216">
        <f t="shared" si="13"/>
        <v>43100</v>
      </c>
      <c r="AG311" s="281">
        <f ca="1">($K$223+$K$224)</f>
        <v>450300</v>
      </c>
      <c r="AH311" s="224">
        <f t="shared" ca="1" si="15"/>
        <v>523666.52380952379</v>
      </c>
      <c r="AI311" s="216">
        <f t="shared" si="16"/>
        <v>104400</v>
      </c>
      <c r="AJ311" s="198">
        <v>4</v>
      </c>
      <c r="AK311" s="198" t="s">
        <v>244</v>
      </c>
      <c r="AL311" s="216">
        <f>$J$136</f>
        <v>154900</v>
      </c>
      <c r="AM311" s="216">
        <f>$J$139</f>
        <v>198000</v>
      </c>
      <c r="AN311" s="230" t="str">
        <f t="shared" ca="1" si="43"/>
        <v>nincs</v>
      </c>
      <c r="AO311" s="230" t="str">
        <f t="shared" ca="1" si="44"/>
        <v>nincs</v>
      </c>
      <c r="AP311" s="230" t="str">
        <f t="shared" ca="1" si="45"/>
        <v>nincs</v>
      </c>
      <c r="AQ311" s="230" t="str">
        <f t="shared" ca="1" si="46"/>
        <v>nincs</v>
      </c>
      <c r="AR311" s="230" t="str">
        <f t="shared" ca="1" si="47"/>
        <v>nincs</v>
      </c>
      <c r="AS311" s="230" t="str">
        <f t="shared" ca="1" si="48"/>
        <v>nincs</v>
      </c>
      <c r="AT311" s="230" t="str">
        <f t="shared" ca="1" si="49"/>
        <v>nincs</v>
      </c>
      <c r="AU311" s="230" t="str">
        <f t="shared" ca="1" si="50"/>
        <v>nincs</v>
      </c>
      <c r="AV311" s="230" t="str">
        <f t="shared" ca="1" si="51"/>
        <v>nincs</v>
      </c>
      <c r="AW311" s="230" t="str">
        <f t="shared" ca="1" si="52"/>
        <v>nincs</v>
      </c>
      <c r="AX311" s="230" t="str">
        <f t="shared" ca="1" si="53"/>
        <v>nincs</v>
      </c>
      <c r="AY311" s="230" t="str">
        <f t="shared" ca="1" si="54"/>
        <v>nincs</v>
      </c>
      <c r="AZ311" s="230" t="str">
        <f t="shared" ca="1" si="55"/>
        <v>nincs</v>
      </c>
      <c r="BA311" s="230" t="str">
        <f t="shared" ca="1" si="56"/>
        <v>nincs</v>
      </c>
      <c r="BB311" s="230" t="str">
        <f t="shared" ca="1" si="57"/>
        <v>nincs</v>
      </c>
      <c r="BC311" s="230" t="str">
        <f t="shared" ca="1" si="58"/>
        <v>nincs</v>
      </c>
      <c r="BD311" s="230" t="str">
        <f t="shared" ca="1" si="59"/>
        <v>nincs</v>
      </c>
      <c r="BE311" s="230" t="str">
        <f t="shared" ca="1" si="60"/>
        <v>nincs</v>
      </c>
      <c r="BG311" s="313" t="s">
        <v>84</v>
      </c>
      <c r="BH311" s="282" t="str">
        <f t="shared" ref="BH311:BH313" si="73">IF(BG311="nincs","nincs",ROUND(BG311/1.27,0))</f>
        <v>nincs</v>
      </c>
      <c r="BI311" s="313" t="s">
        <v>84</v>
      </c>
      <c r="BJ311" s="282" t="str">
        <f t="shared" ref="BJ311:BJ313" si="74">IF(BI311="nincs","nincs",ROUND(BI311/1.27,0))</f>
        <v>nincs</v>
      </c>
      <c r="BK311" s="313" t="s">
        <v>84</v>
      </c>
      <c r="BL311" s="282" t="str">
        <f t="shared" si="68"/>
        <v>nincs</v>
      </c>
      <c r="BM311" s="313" t="s">
        <v>84</v>
      </c>
      <c r="BN311" s="282" t="str">
        <f t="shared" si="69"/>
        <v>nincs</v>
      </c>
      <c r="BO311" s="313" t="s">
        <v>84</v>
      </c>
      <c r="BP311" s="282" t="str">
        <f t="shared" ref="BP311:BP313" si="75">IF(BO311="nincs","nincs",ROUND(BO311/1.27,0))</f>
        <v>nincs</v>
      </c>
      <c r="BQ311" s="313" t="s">
        <v>84</v>
      </c>
      <c r="BR311" s="282" t="str">
        <f t="shared" si="24"/>
        <v>nincs</v>
      </c>
      <c r="BS311" s="313" t="s">
        <v>84</v>
      </c>
      <c r="BT311" s="282" t="str">
        <f t="shared" si="25"/>
        <v>nincs</v>
      </c>
      <c r="BU311" s="313" t="s">
        <v>84</v>
      </c>
      <c r="BV311" s="282" t="str">
        <f t="shared" si="26"/>
        <v>nincs</v>
      </c>
      <c r="BW311" s="313" t="s">
        <v>84</v>
      </c>
      <c r="BX311" s="282" t="str">
        <f t="shared" si="27"/>
        <v>nincs</v>
      </c>
      <c r="BZ311" s="313" t="s">
        <v>84</v>
      </c>
      <c r="CA311" s="282" t="str">
        <f t="shared" si="28"/>
        <v>nincs</v>
      </c>
      <c r="CB311" s="313" t="s">
        <v>84</v>
      </c>
      <c r="CC311" s="282" t="str">
        <f t="shared" si="29"/>
        <v>nincs</v>
      </c>
      <c r="CD311" s="313" t="s">
        <v>84</v>
      </c>
      <c r="CE311" s="282" t="str">
        <f t="shared" si="30"/>
        <v>nincs</v>
      </c>
      <c r="CF311" s="313" t="s">
        <v>84</v>
      </c>
      <c r="CG311" s="282" t="str">
        <f t="shared" si="31"/>
        <v>nincs</v>
      </c>
      <c r="CH311" s="313" t="s">
        <v>84</v>
      </c>
      <c r="CI311" s="282" t="str">
        <f t="shared" si="32"/>
        <v>nincs</v>
      </c>
      <c r="CJ311" s="313" t="s">
        <v>84</v>
      </c>
      <c r="CK311" s="282" t="str">
        <f t="shared" si="33"/>
        <v>nincs</v>
      </c>
      <c r="CL311" s="313" t="s">
        <v>84</v>
      </c>
      <c r="CM311" s="282" t="str">
        <f t="shared" si="34"/>
        <v>nincs</v>
      </c>
      <c r="CN311" s="313" t="s">
        <v>84</v>
      </c>
      <c r="CO311" s="282" t="str">
        <f t="shared" si="35"/>
        <v>nincs</v>
      </c>
      <c r="CP311" s="313" t="s">
        <v>84</v>
      </c>
      <c r="CQ311" s="282" t="str">
        <f t="shared" si="36"/>
        <v>nincs</v>
      </c>
    </row>
    <row r="312" spans="1:95" s="56" customFormat="1" x14ac:dyDescent="0.3">
      <c r="A312" s="66">
        <v>25</v>
      </c>
      <c r="B312" s="71" t="s">
        <v>72</v>
      </c>
      <c r="C312" s="199" t="s">
        <v>84</v>
      </c>
      <c r="D312" s="199" t="s">
        <v>84</v>
      </c>
      <c r="E312" s="199" t="s">
        <v>84</v>
      </c>
      <c r="F312" s="199" t="s">
        <v>84</v>
      </c>
      <c r="G312" s="112">
        <f t="shared" si="37"/>
        <v>65600</v>
      </c>
      <c r="H312" s="255">
        <v>569200</v>
      </c>
      <c r="I312" s="255">
        <v>424400</v>
      </c>
      <c r="J312" s="255">
        <v>484400</v>
      </c>
      <c r="K312" s="280">
        <v>382100</v>
      </c>
      <c r="L312" s="280">
        <v>442100</v>
      </c>
      <c r="M312" s="280">
        <v>382100</v>
      </c>
      <c r="N312" s="280">
        <f t="shared" si="38"/>
        <v>442100</v>
      </c>
      <c r="O312" s="280">
        <v>495400</v>
      </c>
      <c r="P312" s="255">
        <v>421900</v>
      </c>
      <c r="Q312" s="255">
        <v>481800</v>
      </c>
      <c r="R312" s="255" t="s">
        <v>84</v>
      </c>
      <c r="S312" s="192" t="s">
        <v>89</v>
      </c>
      <c r="T312" s="193" t="s">
        <v>61</v>
      </c>
      <c r="U312" s="192">
        <v>3200</v>
      </c>
      <c r="V312" s="192">
        <v>1</v>
      </c>
      <c r="W312" s="217">
        <f t="shared" si="39"/>
        <v>123200</v>
      </c>
      <c r="X312" s="192">
        <v>2625</v>
      </c>
      <c r="Y312" s="192">
        <v>2125</v>
      </c>
      <c r="Z312" s="193" t="s">
        <v>91</v>
      </c>
      <c r="AA312" s="192">
        <v>100</v>
      </c>
      <c r="AB312" s="192">
        <v>125</v>
      </c>
      <c r="AC312" s="255">
        <f>50000*1.3</f>
        <v>65000</v>
      </c>
      <c r="AD312" s="192">
        <v>0</v>
      </c>
      <c r="AE312" s="197" t="s">
        <v>84</v>
      </c>
      <c r="AF312" s="216">
        <f t="shared" si="13"/>
        <v>43100</v>
      </c>
      <c r="AG312" s="224">
        <f t="shared" ref="AG312:AG317" ca="1" si="76">($K$222+$K$223+$K$224)</f>
        <v>471100</v>
      </c>
      <c r="AH312" s="224">
        <f t="shared" ca="1" si="15"/>
        <v>544466.52380952379</v>
      </c>
      <c r="AI312" s="216">
        <f t="shared" si="16"/>
        <v>104400</v>
      </c>
      <c r="AJ312" s="198">
        <v>4</v>
      </c>
      <c r="AK312" s="198" t="s">
        <v>244</v>
      </c>
      <c r="AL312" s="216">
        <f>$J$134</f>
        <v>123200</v>
      </c>
      <c r="AM312" s="216">
        <f>$J$137</f>
        <v>166300</v>
      </c>
      <c r="AN312" s="230" t="str">
        <f t="shared" ca="1" si="43"/>
        <v>nincs</v>
      </c>
      <c r="AO312" s="230" t="str">
        <f t="shared" ca="1" si="44"/>
        <v>nincs</v>
      </c>
      <c r="AP312" s="230" t="str">
        <f t="shared" ca="1" si="45"/>
        <v>nincs</v>
      </c>
      <c r="AQ312" s="230" t="str">
        <f t="shared" ca="1" si="46"/>
        <v>nincs</v>
      </c>
      <c r="AR312" s="230" t="str">
        <f t="shared" ca="1" si="47"/>
        <v>nincs</v>
      </c>
      <c r="AS312" s="230" t="str">
        <f t="shared" ca="1" si="48"/>
        <v>nincs</v>
      </c>
      <c r="AT312" s="230" t="str">
        <f t="shared" ca="1" si="49"/>
        <v>nincs</v>
      </c>
      <c r="AU312" s="230" t="str">
        <f t="shared" ca="1" si="50"/>
        <v>nincs</v>
      </c>
      <c r="AV312" s="230" t="str">
        <f t="shared" ca="1" si="51"/>
        <v>nincs</v>
      </c>
      <c r="AW312" s="230" t="str">
        <f t="shared" ca="1" si="52"/>
        <v>nincs</v>
      </c>
      <c r="AX312" s="230" t="str">
        <f t="shared" ca="1" si="53"/>
        <v>nincs</v>
      </c>
      <c r="AY312" s="230" t="str">
        <f t="shared" ca="1" si="54"/>
        <v>nincs</v>
      </c>
      <c r="AZ312" s="230" t="str">
        <f t="shared" ca="1" si="55"/>
        <v>nincs</v>
      </c>
      <c r="BA312" s="230" t="str">
        <f t="shared" ca="1" si="56"/>
        <v>nincs</v>
      </c>
      <c r="BB312" s="230" t="str">
        <f t="shared" ca="1" si="57"/>
        <v>nincs</v>
      </c>
      <c r="BC312" s="230" t="str">
        <f t="shared" ca="1" si="58"/>
        <v>nincs</v>
      </c>
      <c r="BD312" s="230" t="str">
        <f t="shared" ca="1" si="59"/>
        <v>nincs</v>
      </c>
      <c r="BE312" s="230" t="str">
        <f t="shared" ca="1" si="60"/>
        <v>nincs</v>
      </c>
      <c r="BG312" s="313" t="s">
        <v>84</v>
      </c>
      <c r="BH312" s="282" t="str">
        <f t="shared" si="73"/>
        <v>nincs</v>
      </c>
      <c r="BI312" s="313" t="s">
        <v>84</v>
      </c>
      <c r="BJ312" s="282" t="str">
        <f t="shared" si="74"/>
        <v>nincs</v>
      </c>
      <c r="BK312" s="313" t="s">
        <v>84</v>
      </c>
      <c r="BL312" s="282" t="str">
        <f t="shared" si="68"/>
        <v>nincs</v>
      </c>
      <c r="BM312" s="313" t="s">
        <v>84</v>
      </c>
      <c r="BN312" s="282" t="str">
        <f t="shared" si="69"/>
        <v>nincs</v>
      </c>
      <c r="BO312" s="313" t="s">
        <v>84</v>
      </c>
      <c r="BP312" s="282" t="str">
        <f t="shared" si="75"/>
        <v>nincs</v>
      </c>
      <c r="BQ312" s="313" t="s">
        <v>84</v>
      </c>
      <c r="BR312" s="282" t="str">
        <f t="shared" si="24"/>
        <v>nincs</v>
      </c>
      <c r="BS312" s="313" t="s">
        <v>84</v>
      </c>
      <c r="BT312" s="282" t="str">
        <f t="shared" si="25"/>
        <v>nincs</v>
      </c>
      <c r="BU312" s="313" t="s">
        <v>84</v>
      </c>
      <c r="BV312" s="282" t="str">
        <f t="shared" si="26"/>
        <v>nincs</v>
      </c>
      <c r="BW312" s="313" t="s">
        <v>84</v>
      </c>
      <c r="BX312" s="282" t="str">
        <f t="shared" si="27"/>
        <v>nincs</v>
      </c>
      <c r="BZ312" s="313" t="s">
        <v>84</v>
      </c>
      <c r="CA312" s="282" t="str">
        <f t="shared" si="28"/>
        <v>nincs</v>
      </c>
      <c r="CB312" s="313" t="s">
        <v>84</v>
      </c>
      <c r="CC312" s="282" t="str">
        <f t="shared" si="29"/>
        <v>nincs</v>
      </c>
      <c r="CD312" s="313" t="s">
        <v>84</v>
      </c>
      <c r="CE312" s="282" t="str">
        <f t="shared" si="30"/>
        <v>nincs</v>
      </c>
      <c r="CF312" s="313" t="s">
        <v>84</v>
      </c>
      <c r="CG312" s="282" t="str">
        <f t="shared" si="31"/>
        <v>nincs</v>
      </c>
      <c r="CH312" s="313" t="s">
        <v>84</v>
      </c>
      <c r="CI312" s="282" t="str">
        <f t="shared" si="32"/>
        <v>nincs</v>
      </c>
      <c r="CJ312" s="313" t="s">
        <v>84</v>
      </c>
      <c r="CK312" s="282" t="str">
        <f t="shared" si="33"/>
        <v>nincs</v>
      </c>
      <c r="CL312" s="313" t="s">
        <v>84</v>
      </c>
      <c r="CM312" s="282" t="str">
        <f t="shared" si="34"/>
        <v>nincs</v>
      </c>
      <c r="CN312" s="313" t="s">
        <v>84</v>
      </c>
      <c r="CO312" s="282" t="str">
        <f t="shared" si="35"/>
        <v>nincs</v>
      </c>
      <c r="CP312" s="313" t="s">
        <v>84</v>
      </c>
      <c r="CQ312" s="282" t="str">
        <f t="shared" si="36"/>
        <v>nincs</v>
      </c>
    </row>
    <row r="313" spans="1:95" s="56" customFormat="1" x14ac:dyDescent="0.3">
      <c r="A313" s="68">
        <v>26</v>
      </c>
      <c r="B313" s="71" t="s">
        <v>22</v>
      </c>
      <c r="C313" s="199" t="s">
        <v>84</v>
      </c>
      <c r="D313" s="199" t="s">
        <v>84</v>
      </c>
      <c r="E313" s="199" t="s">
        <v>84</v>
      </c>
      <c r="F313" s="199" t="s">
        <v>84</v>
      </c>
      <c r="G313" s="112">
        <f t="shared" si="37"/>
        <v>65600</v>
      </c>
      <c r="H313" s="255">
        <v>575100</v>
      </c>
      <c r="I313" s="255">
        <v>431400</v>
      </c>
      <c r="J313" s="255">
        <v>490600</v>
      </c>
      <c r="K313" s="280">
        <v>388300</v>
      </c>
      <c r="L313" s="280">
        <v>447500</v>
      </c>
      <c r="M313" s="280">
        <v>388300</v>
      </c>
      <c r="N313" s="280">
        <f t="shared" si="38"/>
        <v>447500</v>
      </c>
      <c r="O313" s="280">
        <v>487200</v>
      </c>
      <c r="P313" s="255">
        <v>472100</v>
      </c>
      <c r="Q313" s="255">
        <v>531300</v>
      </c>
      <c r="R313" s="255" t="s">
        <v>84</v>
      </c>
      <c r="S313" s="192" t="s">
        <v>89</v>
      </c>
      <c r="T313" s="193" t="s">
        <v>61</v>
      </c>
      <c r="U313" s="192">
        <v>3200</v>
      </c>
      <c r="V313" s="192">
        <v>1</v>
      </c>
      <c r="W313" s="217">
        <f t="shared" si="39"/>
        <v>123200</v>
      </c>
      <c r="X313" s="192">
        <v>2750</v>
      </c>
      <c r="Y313" s="192">
        <v>2000</v>
      </c>
      <c r="Z313" s="193" t="s">
        <v>91</v>
      </c>
      <c r="AA313" s="192">
        <v>100</v>
      </c>
      <c r="AB313" s="192">
        <v>125</v>
      </c>
      <c r="AC313" s="217">
        <f t="shared" si="41"/>
        <v>65000</v>
      </c>
      <c r="AD313" s="192">
        <v>0</v>
      </c>
      <c r="AE313" s="197" t="s">
        <v>84</v>
      </c>
      <c r="AF313" s="216">
        <f t="shared" si="13"/>
        <v>43100</v>
      </c>
      <c r="AG313" s="224">
        <f t="shared" ca="1" si="76"/>
        <v>471100</v>
      </c>
      <c r="AH313" s="224">
        <f t="shared" ca="1" si="15"/>
        <v>544466.52380952379</v>
      </c>
      <c r="AI313" s="216">
        <f t="shared" si="16"/>
        <v>104400</v>
      </c>
      <c r="AJ313" s="198">
        <v>4</v>
      </c>
      <c r="AK313" s="198" t="s">
        <v>244</v>
      </c>
      <c r="AL313" s="216">
        <f>$J$134</f>
        <v>123200</v>
      </c>
      <c r="AM313" s="216">
        <f>$J$137</f>
        <v>166300</v>
      </c>
      <c r="AN313" s="230" t="str">
        <f t="shared" ca="1" si="43"/>
        <v>nincs</v>
      </c>
      <c r="AO313" s="230" t="str">
        <f t="shared" ca="1" si="44"/>
        <v>nincs</v>
      </c>
      <c r="AP313" s="230" t="str">
        <f t="shared" ca="1" si="45"/>
        <v>nincs</v>
      </c>
      <c r="AQ313" s="230" t="str">
        <f t="shared" ca="1" si="46"/>
        <v>nincs</v>
      </c>
      <c r="AR313" s="230" t="str">
        <f t="shared" ca="1" si="47"/>
        <v>nincs</v>
      </c>
      <c r="AS313" s="230" t="str">
        <f t="shared" ca="1" si="48"/>
        <v>nincs</v>
      </c>
      <c r="AT313" s="230" t="str">
        <f t="shared" ca="1" si="49"/>
        <v>nincs</v>
      </c>
      <c r="AU313" s="230" t="str">
        <f t="shared" ca="1" si="50"/>
        <v>nincs</v>
      </c>
      <c r="AV313" s="230" t="str">
        <f t="shared" ca="1" si="51"/>
        <v>nincs</v>
      </c>
      <c r="AW313" s="230" t="str">
        <f t="shared" ca="1" si="52"/>
        <v>nincs</v>
      </c>
      <c r="AX313" s="230" t="str">
        <f t="shared" ca="1" si="53"/>
        <v>nincs</v>
      </c>
      <c r="AY313" s="230" t="str">
        <f t="shared" ca="1" si="54"/>
        <v>nincs</v>
      </c>
      <c r="AZ313" s="230" t="str">
        <f t="shared" ca="1" si="55"/>
        <v>nincs</v>
      </c>
      <c r="BA313" s="230" t="str">
        <f t="shared" ca="1" si="56"/>
        <v>nincs</v>
      </c>
      <c r="BB313" s="230" t="str">
        <f t="shared" ca="1" si="57"/>
        <v>nincs</v>
      </c>
      <c r="BC313" s="230" t="str">
        <f t="shared" ca="1" si="58"/>
        <v>nincs</v>
      </c>
      <c r="BD313" s="230" t="str">
        <f t="shared" ca="1" si="59"/>
        <v>nincs</v>
      </c>
      <c r="BE313" s="230" t="str">
        <f t="shared" ca="1" si="60"/>
        <v>nincs</v>
      </c>
      <c r="BG313" s="313" t="s">
        <v>84</v>
      </c>
      <c r="BH313" s="282" t="str">
        <f t="shared" si="73"/>
        <v>nincs</v>
      </c>
      <c r="BI313" s="313" t="s">
        <v>84</v>
      </c>
      <c r="BJ313" s="282" t="str">
        <f t="shared" si="74"/>
        <v>nincs</v>
      </c>
      <c r="BK313" s="313" t="s">
        <v>84</v>
      </c>
      <c r="BL313" s="282" t="str">
        <f t="shared" si="68"/>
        <v>nincs</v>
      </c>
      <c r="BM313" s="313" t="s">
        <v>84</v>
      </c>
      <c r="BN313" s="282" t="str">
        <f t="shared" si="69"/>
        <v>nincs</v>
      </c>
      <c r="BO313" s="313" t="s">
        <v>84</v>
      </c>
      <c r="BP313" s="282" t="str">
        <f t="shared" si="75"/>
        <v>nincs</v>
      </c>
      <c r="BQ313" s="313" t="s">
        <v>84</v>
      </c>
      <c r="BR313" s="282" t="str">
        <f t="shared" si="24"/>
        <v>nincs</v>
      </c>
      <c r="BS313" s="313" t="s">
        <v>84</v>
      </c>
      <c r="BT313" s="282" t="str">
        <f t="shared" si="25"/>
        <v>nincs</v>
      </c>
      <c r="BU313" s="313" t="s">
        <v>84</v>
      </c>
      <c r="BV313" s="282" t="str">
        <f t="shared" si="26"/>
        <v>nincs</v>
      </c>
      <c r="BW313" s="313" t="s">
        <v>84</v>
      </c>
      <c r="BX313" s="282" t="str">
        <f t="shared" si="27"/>
        <v>nincs</v>
      </c>
      <c r="BZ313" s="313" t="s">
        <v>84</v>
      </c>
      <c r="CA313" s="282" t="str">
        <f t="shared" si="28"/>
        <v>nincs</v>
      </c>
      <c r="CB313" s="313" t="s">
        <v>84</v>
      </c>
      <c r="CC313" s="282" t="str">
        <f t="shared" si="29"/>
        <v>nincs</v>
      </c>
      <c r="CD313" s="313" t="s">
        <v>84</v>
      </c>
      <c r="CE313" s="282" t="str">
        <f t="shared" si="30"/>
        <v>nincs</v>
      </c>
      <c r="CF313" s="313" t="s">
        <v>84</v>
      </c>
      <c r="CG313" s="282" t="str">
        <f t="shared" si="31"/>
        <v>nincs</v>
      </c>
      <c r="CH313" s="313" t="s">
        <v>84</v>
      </c>
      <c r="CI313" s="282" t="str">
        <f t="shared" si="32"/>
        <v>nincs</v>
      </c>
      <c r="CJ313" s="313" t="s">
        <v>84</v>
      </c>
      <c r="CK313" s="282" t="str">
        <f t="shared" si="33"/>
        <v>nincs</v>
      </c>
      <c r="CL313" s="313" t="s">
        <v>84</v>
      </c>
      <c r="CM313" s="282" t="str">
        <f t="shared" si="34"/>
        <v>nincs</v>
      </c>
      <c r="CN313" s="313" t="s">
        <v>84</v>
      </c>
      <c r="CO313" s="282" t="str">
        <f t="shared" si="35"/>
        <v>nincs</v>
      </c>
      <c r="CP313" s="313" t="s">
        <v>84</v>
      </c>
      <c r="CQ313" s="282" t="str">
        <f t="shared" si="36"/>
        <v>nincs</v>
      </c>
    </row>
    <row r="314" spans="1:95" s="56" customFormat="1" x14ac:dyDescent="0.3">
      <c r="A314" s="66">
        <v>27</v>
      </c>
      <c r="B314" s="71" t="s">
        <v>378</v>
      </c>
      <c r="C314" s="199" t="s">
        <v>84</v>
      </c>
      <c r="D314" s="199" t="s">
        <v>84</v>
      </c>
      <c r="E314" s="199" t="s">
        <v>84</v>
      </c>
      <c r="F314" s="199" t="s">
        <v>84</v>
      </c>
      <c r="G314" s="112">
        <f t="shared" si="37"/>
        <v>65600</v>
      </c>
      <c r="H314" s="255">
        <v>586900</v>
      </c>
      <c r="I314" s="255">
        <v>445400</v>
      </c>
      <c r="J314" s="255">
        <v>508500</v>
      </c>
      <c r="K314" s="280">
        <v>400900</v>
      </c>
      <c r="L314" s="280">
        <v>463900</v>
      </c>
      <c r="M314" s="280">
        <v>400900</v>
      </c>
      <c r="N314" s="280">
        <f t="shared" si="38"/>
        <v>463900</v>
      </c>
      <c r="O314" s="280">
        <v>506700</v>
      </c>
      <c r="P314" s="255">
        <v>481100</v>
      </c>
      <c r="Q314" s="255">
        <v>544100</v>
      </c>
      <c r="R314" s="255" t="s">
        <v>84</v>
      </c>
      <c r="S314" s="192" t="s">
        <v>89</v>
      </c>
      <c r="T314" s="193" t="s">
        <v>61</v>
      </c>
      <c r="U314" s="192">
        <v>3200</v>
      </c>
      <c r="V314" s="192">
        <v>1</v>
      </c>
      <c r="W314" s="217">
        <f t="shared" si="39"/>
        <v>123200</v>
      </c>
      <c r="X314" s="192">
        <v>2750</v>
      </c>
      <c r="Y314" s="192">
        <v>2125</v>
      </c>
      <c r="Z314" s="193" t="s">
        <v>91</v>
      </c>
      <c r="AA314" s="192">
        <v>100</v>
      </c>
      <c r="AB314" s="192">
        <v>125</v>
      </c>
      <c r="AC314" s="217">
        <f t="shared" si="41"/>
        <v>65000</v>
      </c>
      <c r="AD314" s="192">
        <v>0</v>
      </c>
      <c r="AE314" s="197" t="s">
        <v>84</v>
      </c>
      <c r="AF314" s="216">
        <f t="shared" si="13"/>
        <v>43100</v>
      </c>
      <c r="AG314" s="224">
        <f t="shared" ca="1" si="76"/>
        <v>471100</v>
      </c>
      <c r="AH314" s="224">
        <f t="shared" ca="1" si="15"/>
        <v>544466.52380952379</v>
      </c>
      <c r="AI314" s="216">
        <f t="shared" si="16"/>
        <v>104400</v>
      </c>
      <c r="AJ314" s="198">
        <v>4</v>
      </c>
      <c r="AK314" s="198" t="s">
        <v>244</v>
      </c>
      <c r="AL314" s="216">
        <f>$J$134</f>
        <v>123200</v>
      </c>
      <c r="AM314" s="216">
        <f>$J$137</f>
        <v>166300</v>
      </c>
      <c r="AN314" s="230">
        <f t="shared" ca="1" si="43"/>
        <v>452800</v>
      </c>
      <c r="AO314" s="230">
        <f t="shared" ca="1" si="44"/>
        <v>356535</v>
      </c>
      <c r="AP314" s="230">
        <f t="shared" ca="1" si="45"/>
        <v>495400</v>
      </c>
      <c r="AQ314" s="230">
        <f t="shared" ca="1" si="46"/>
        <v>390079</v>
      </c>
      <c r="AR314" s="230">
        <f t="shared" ca="1" si="47"/>
        <v>485100</v>
      </c>
      <c r="AS314" s="230">
        <f t="shared" ca="1" si="48"/>
        <v>381969</v>
      </c>
      <c r="AT314" s="230">
        <f t="shared" ca="1" si="49"/>
        <v>527800</v>
      </c>
      <c r="AU314" s="230">
        <f t="shared" ca="1" si="50"/>
        <v>415591</v>
      </c>
      <c r="AV314" s="230">
        <f t="shared" ca="1" si="51"/>
        <v>543700</v>
      </c>
      <c r="AW314" s="230">
        <f t="shared" ca="1" si="52"/>
        <v>428110</v>
      </c>
      <c r="AX314" s="230">
        <f t="shared" ca="1" si="53"/>
        <v>586400</v>
      </c>
      <c r="AY314" s="230">
        <f t="shared" ca="1" si="54"/>
        <v>461732</v>
      </c>
      <c r="AZ314" s="230">
        <f t="shared" ca="1" si="55"/>
        <v>480100</v>
      </c>
      <c r="BA314" s="230">
        <f t="shared" ca="1" si="56"/>
        <v>378031</v>
      </c>
      <c r="BB314" s="230">
        <f t="shared" ca="1" si="57"/>
        <v>512400</v>
      </c>
      <c r="BC314" s="230">
        <f t="shared" ca="1" si="58"/>
        <v>403465</v>
      </c>
      <c r="BD314" s="230">
        <f t="shared" ca="1" si="59"/>
        <v>571000</v>
      </c>
      <c r="BE314" s="230">
        <f t="shared" ca="1" si="60"/>
        <v>449606</v>
      </c>
      <c r="BG314" s="313">
        <v>431400</v>
      </c>
      <c r="BH314" s="282">
        <f>IF(BG314="nincs","nincs",ROUND(BG314/1.27,0))</f>
        <v>339685</v>
      </c>
      <c r="BI314" s="313">
        <v>471900</v>
      </c>
      <c r="BJ314" s="282">
        <f>IF(BI314="nincs","nincs",ROUND(BI314/1.27,0))</f>
        <v>371575</v>
      </c>
      <c r="BK314" s="313">
        <v>462300</v>
      </c>
      <c r="BL314" s="282">
        <f t="shared" si="68"/>
        <v>364016</v>
      </c>
      <c r="BM314" s="313">
        <v>502800</v>
      </c>
      <c r="BN314" s="282">
        <f t="shared" si="69"/>
        <v>395906</v>
      </c>
      <c r="BO314" s="313">
        <v>518000</v>
      </c>
      <c r="BP314" s="282">
        <f>IF(BO314="nincs","nincs",ROUND(BO314/1.27,0))</f>
        <v>407874</v>
      </c>
      <c r="BQ314" s="313">
        <v>558500</v>
      </c>
      <c r="BR314" s="282">
        <f t="shared" si="24"/>
        <v>439764</v>
      </c>
      <c r="BS314" s="313">
        <v>457300</v>
      </c>
      <c r="BT314" s="282">
        <f t="shared" si="25"/>
        <v>360079</v>
      </c>
      <c r="BU314" s="313">
        <v>488200</v>
      </c>
      <c r="BV314" s="282">
        <f t="shared" si="26"/>
        <v>384409</v>
      </c>
      <c r="BW314" s="313">
        <v>543900</v>
      </c>
      <c r="BX314" s="282">
        <f t="shared" si="27"/>
        <v>428268</v>
      </c>
      <c r="BZ314" s="313">
        <v>452800</v>
      </c>
      <c r="CA314" s="282">
        <f t="shared" si="28"/>
        <v>356535</v>
      </c>
      <c r="CB314" s="313">
        <v>495400</v>
      </c>
      <c r="CC314" s="282">
        <f t="shared" si="29"/>
        <v>390079</v>
      </c>
      <c r="CD314" s="313">
        <v>485100</v>
      </c>
      <c r="CE314" s="282">
        <f t="shared" si="30"/>
        <v>381969</v>
      </c>
      <c r="CF314" s="313">
        <v>527800</v>
      </c>
      <c r="CG314" s="282">
        <f t="shared" si="31"/>
        <v>415591</v>
      </c>
      <c r="CH314" s="313">
        <v>543700</v>
      </c>
      <c r="CI314" s="282">
        <f t="shared" si="32"/>
        <v>428110</v>
      </c>
      <c r="CJ314" s="313">
        <v>586400</v>
      </c>
      <c r="CK314" s="282">
        <f t="shared" si="33"/>
        <v>461732</v>
      </c>
      <c r="CL314" s="313">
        <v>480100</v>
      </c>
      <c r="CM314" s="282">
        <f t="shared" si="34"/>
        <v>378031</v>
      </c>
      <c r="CN314" s="313">
        <v>512400</v>
      </c>
      <c r="CO314" s="282">
        <f t="shared" si="35"/>
        <v>403465</v>
      </c>
      <c r="CP314" s="313">
        <v>571000</v>
      </c>
      <c r="CQ314" s="282">
        <f t="shared" si="36"/>
        <v>449606</v>
      </c>
    </row>
    <row r="315" spans="1:95" s="56" customFormat="1" x14ac:dyDescent="0.3">
      <c r="A315" s="68">
        <v>28</v>
      </c>
      <c r="B315" s="71" t="s">
        <v>379</v>
      </c>
      <c r="C315" s="199" t="s">
        <v>84</v>
      </c>
      <c r="D315" s="199" t="s">
        <v>84</v>
      </c>
      <c r="E315" s="199" t="s">
        <v>84</v>
      </c>
      <c r="F315" s="199" t="s">
        <v>84</v>
      </c>
      <c r="G315" s="112">
        <f t="shared" si="37"/>
        <v>65600</v>
      </c>
      <c r="H315" s="255">
        <v>617400</v>
      </c>
      <c r="I315" s="255">
        <v>446000</v>
      </c>
      <c r="J315" s="255">
        <v>512600</v>
      </c>
      <c r="K315" s="280">
        <v>402400</v>
      </c>
      <c r="L315" s="280">
        <v>469000</v>
      </c>
      <c r="M315" s="280">
        <v>402400</v>
      </c>
      <c r="N315" s="280">
        <f t="shared" si="38"/>
        <v>469000</v>
      </c>
      <c r="O315" s="280">
        <v>517700</v>
      </c>
      <c r="P315" s="255">
        <v>498800</v>
      </c>
      <c r="Q315" s="255">
        <v>565400</v>
      </c>
      <c r="R315" s="255" t="s">
        <v>84</v>
      </c>
      <c r="S315" s="192" t="s">
        <v>89</v>
      </c>
      <c r="T315" s="194" t="s">
        <v>62</v>
      </c>
      <c r="U315" s="193">
        <v>3450</v>
      </c>
      <c r="V315" s="192">
        <v>1</v>
      </c>
      <c r="W315" s="217">
        <f t="shared" si="39"/>
        <v>133300</v>
      </c>
      <c r="X315" s="192">
        <v>2750</v>
      </c>
      <c r="Y315" s="192">
        <v>2250</v>
      </c>
      <c r="Z315" s="193" t="s">
        <v>91</v>
      </c>
      <c r="AA315" s="192">
        <v>100</v>
      </c>
      <c r="AB315" s="192">
        <v>125</v>
      </c>
      <c r="AC315" s="217">
        <f t="shared" si="41"/>
        <v>65000</v>
      </c>
      <c r="AD315" s="192">
        <v>0</v>
      </c>
      <c r="AE315" s="197" t="s">
        <v>84</v>
      </c>
      <c r="AF315" s="216">
        <f t="shared" si="13"/>
        <v>43100</v>
      </c>
      <c r="AG315" s="224">
        <f t="shared" ca="1" si="76"/>
        <v>471100</v>
      </c>
      <c r="AH315" s="224">
        <f t="shared" ca="1" si="15"/>
        <v>544466.52380952379</v>
      </c>
      <c r="AI315" s="216">
        <f t="shared" si="16"/>
        <v>104400</v>
      </c>
      <c r="AJ315" s="198">
        <v>4</v>
      </c>
      <c r="AK315" s="198" t="s">
        <v>244</v>
      </c>
      <c r="AL315" s="216">
        <f>$J$135</f>
        <v>133300</v>
      </c>
      <c r="AM315" s="216">
        <f>$J$138</f>
        <v>176400</v>
      </c>
      <c r="AN315" s="230">
        <f t="shared" ca="1" si="43"/>
        <v>472700</v>
      </c>
      <c r="AO315" s="230">
        <f t="shared" ca="1" si="44"/>
        <v>372205</v>
      </c>
      <c r="AP315" s="230">
        <f t="shared" ca="1" si="45"/>
        <v>515500</v>
      </c>
      <c r="AQ315" s="230">
        <f t="shared" ca="1" si="46"/>
        <v>405906</v>
      </c>
      <c r="AR315" s="230">
        <f t="shared" ca="1" si="47"/>
        <v>505100</v>
      </c>
      <c r="AS315" s="230">
        <f t="shared" ca="1" si="48"/>
        <v>397717</v>
      </c>
      <c r="AT315" s="230">
        <f t="shared" ca="1" si="49"/>
        <v>547900</v>
      </c>
      <c r="AU315" s="230">
        <f t="shared" ca="1" si="50"/>
        <v>431417</v>
      </c>
      <c r="AV315" s="230">
        <f t="shared" ca="1" si="51"/>
        <v>563600</v>
      </c>
      <c r="AW315" s="230">
        <f t="shared" ca="1" si="52"/>
        <v>443780</v>
      </c>
      <c r="AX315" s="230">
        <f t="shared" ca="1" si="53"/>
        <v>606400</v>
      </c>
      <c r="AY315" s="230">
        <f t="shared" ca="1" si="54"/>
        <v>477480</v>
      </c>
      <c r="AZ315" s="230">
        <f t="shared" ca="1" si="55"/>
        <v>500000</v>
      </c>
      <c r="BA315" s="230">
        <f t="shared" ca="1" si="56"/>
        <v>393701</v>
      </c>
      <c r="BB315" s="230">
        <f t="shared" ca="1" si="57"/>
        <v>532400</v>
      </c>
      <c r="BC315" s="230">
        <f t="shared" ca="1" si="58"/>
        <v>419213</v>
      </c>
      <c r="BD315" s="230">
        <f t="shared" ca="1" si="59"/>
        <v>590900</v>
      </c>
      <c r="BE315" s="230">
        <f t="shared" ca="1" si="60"/>
        <v>465276</v>
      </c>
      <c r="BG315" s="313">
        <v>450200</v>
      </c>
      <c r="BH315" s="282">
        <f>IF(BG315="nincs","nincs",ROUND(BG315/1.27,0))</f>
        <v>354488</v>
      </c>
      <c r="BI315" s="313">
        <v>491100</v>
      </c>
      <c r="BJ315" s="282">
        <f>IF(BI315="nincs","nincs",ROUND(BI315/1.27,0))</f>
        <v>386693</v>
      </c>
      <c r="BK315" s="313">
        <v>481100</v>
      </c>
      <c r="BL315" s="282">
        <f t="shared" si="68"/>
        <v>378819</v>
      </c>
      <c r="BM315" s="313">
        <v>522000</v>
      </c>
      <c r="BN315" s="282">
        <f t="shared" si="69"/>
        <v>411024</v>
      </c>
      <c r="BO315" s="313">
        <v>536800</v>
      </c>
      <c r="BP315" s="282">
        <f>IF(BO315="nincs","nincs",ROUND(BO315/1.27,0))</f>
        <v>422677</v>
      </c>
      <c r="BQ315" s="313">
        <v>577700</v>
      </c>
      <c r="BR315" s="282">
        <f t="shared" si="24"/>
        <v>454882</v>
      </c>
      <c r="BS315" s="313">
        <v>476300</v>
      </c>
      <c r="BT315" s="282">
        <f t="shared" si="25"/>
        <v>375039</v>
      </c>
      <c r="BU315" s="313">
        <v>507100</v>
      </c>
      <c r="BV315" s="282">
        <f t="shared" si="26"/>
        <v>399291</v>
      </c>
      <c r="BW315" s="313">
        <v>562900</v>
      </c>
      <c r="BX315" s="282">
        <f t="shared" si="27"/>
        <v>443228</v>
      </c>
      <c r="BZ315" s="313">
        <v>472700</v>
      </c>
      <c r="CA315" s="282">
        <f t="shared" si="28"/>
        <v>372205</v>
      </c>
      <c r="CB315" s="313">
        <v>515500</v>
      </c>
      <c r="CC315" s="282">
        <f t="shared" si="29"/>
        <v>405906</v>
      </c>
      <c r="CD315" s="313">
        <v>505100</v>
      </c>
      <c r="CE315" s="282">
        <f t="shared" si="30"/>
        <v>397717</v>
      </c>
      <c r="CF315" s="313">
        <v>547900</v>
      </c>
      <c r="CG315" s="282">
        <f t="shared" si="31"/>
        <v>431417</v>
      </c>
      <c r="CH315" s="313">
        <v>563600</v>
      </c>
      <c r="CI315" s="282">
        <f t="shared" si="32"/>
        <v>443780</v>
      </c>
      <c r="CJ315" s="313">
        <v>606400</v>
      </c>
      <c r="CK315" s="282">
        <f t="shared" si="33"/>
        <v>477480</v>
      </c>
      <c r="CL315" s="313">
        <v>500000</v>
      </c>
      <c r="CM315" s="282">
        <f t="shared" si="34"/>
        <v>393701</v>
      </c>
      <c r="CN315" s="313">
        <v>532400</v>
      </c>
      <c r="CO315" s="282">
        <f t="shared" si="35"/>
        <v>419213</v>
      </c>
      <c r="CP315" s="313">
        <v>590900</v>
      </c>
      <c r="CQ315" s="282">
        <f t="shared" si="36"/>
        <v>465276</v>
      </c>
    </row>
    <row r="316" spans="1:95" s="56" customFormat="1" x14ac:dyDescent="0.3">
      <c r="A316" s="66">
        <v>29</v>
      </c>
      <c r="B316" s="71" t="s">
        <v>69</v>
      </c>
      <c r="C316" s="199" t="s">
        <v>84</v>
      </c>
      <c r="D316" s="199" t="s">
        <v>84</v>
      </c>
      <c r="E316" s="199" t="s">
        <v>84</v>
      </c>
      <c r="F316" s="199" t="s">
        <v>84</v>
      </c>
      <c r="G316" s="112">
        <f t="shared" si="37"/>
        <v>65600</v>
      </c>
      <c r="H316" s="255">
        <v>631500</v>
      </c>
      <c r="I316" s="255">
        <v>457800</v>
      </c>
      <c r="J316" s="255">
        <v>528200</v>
      </c>
      <c r="K316" s="280">
        <v>413200</v>
      </c>
      <c r="L316" s="280">
        <v>483600</v>
      </c>
      <c r="M316" s="280">
        <v>413200</v>
      </c>
      <c r="N316" s="280">
        <f t="shared" si="38"/>
        <v>483600</v>
      </c>
      <c r="O316" s="280">
        <v>535200</v>
      </c>
      <c r="P316" s="255">
        <v>502600</v>
      </c>
      <c r="Q316" s="255">
        <v>573100</v>
      </c>
      <c r="R316" s="255" t="s">
        <v>84</v>
      </c>
      <c r="S316" s="192" t="s">
        <v>89</v>
      </c>
      <c r="T316" s="194" t="s">
        <v>62</v>
      </c>
      <c r="U316" s="193">
        <v>3450</v>
      </c>
      <c r="V316" s="192">
        <v>1</v>
      </c>
      <c r="W316" s="217">
        <f t="shared" si="39"/>
        <v>133300</v>
      </c>
      <c r="X316" s="192">
        <v>2750</v>
      </c>
      <c r="Y316" s="192">
        <v>2375</v>
      </c>
      <c r="Z316" s="193" t="s">
        <v>91</v>
      </c>
      <c r="AA316" s="192">
        <v>100</v>
      </c>
      <c r="AB316" s="192">
        <v>125</v>
      </c>
      <c r="AC316" s="217">
        <f t="shared" si="41"/>
        <v>65000</v>
      </c>
      <c r="AD316" s="192">
        <v>0</v>
      </c>
      <c r="AE316" s="197" t="s">
        <v>84</v>
      </c>
      <c r="AF316" s="216">
        <f t="shared" si="13"/>
        <v>43100</v>
      </c>
      <c r="AG316" s="224">
        <f t="shared" ca="1" si="76"/>
        <v>471100</v>
      </c>
      <c r="AH316" s="224">
        <f t="shared" ca="1" si="15"/>
        <v>544466.52380952379</v>
      </c>
      <c r="AI316" s="216">
        <f t="shared" si="16"/>
        <v>104400</v>
      </c>
      <c r="AJ316" s="198">
        <v>4</v>
      </c>
      <c r="AK316" s="198" t="s">
        <v>244</v>
      </c>
      <c r="AL316" s="216">
        <f>$J$135</f>
        <v>133300</v>
      </c>
      <c r="AM316" s="216">
        <f>$J$138</f>
        <v>176400</v>
      </c>
      <c r="AN316" s="230" t="str">
        <f t="shared" ca="1" si="43"/>
        <v>nincs</v>
      </c>
      <c r="AO316" s="230" t="str">
        <f t="shared" ca="1" si="44"/>
        <v>nincs</v>
      </c>
      <c r="AP316" s="230" t="str">
        <f t="shared" ca="1" si="45"/>
        <v>nincs</v>
      </c>
      <c r="AQ316" s="230" t="str">
        <f t="shared" ca="1" si="46"/>
        <v>nincs</v>
      </c>
      <c r="AR316" s="230" t="str">
        <f t="shared" ca="1" si="47"/>
        <v>nincs</v>
      </c>
      <c r="AS316" s="230" t="str">
        <f t="shared" ca="1" si="48"/>
        <v>nincs</v>
      </c>
      <c r="AT316" s="230" t="str">
        <f t="shared" ca="1" si="49"/>
        <v>nincs</v>
      </c>
      <c r="AU316" s="230" t="str">
        <f t="shared" ca="1" si="50"/>
        <v>nincs</v>
      </c>
      <c r="AV316" s="230" t="str">
        <f t="shared" ca="1" si="51"/>
        <v>nincs</v>
      </c>
      <c r="AW316" s="230" t="str">
        <f t="shared" ca="1" si="52"/>
        <v>nincs</v>
      </c>
      <c r="AX316" s="230" t="str">
        <f t="shared" ca="1" si="53"/>
        <v>nincs</v>
      </c>
      <c r="AY316" s="230" t="str">
        <f t="shared" ca="1" si="54"/>
        <v>nincs</v>
      </c>
      <c r="AZ316" s="230" t="str">
        <f t="shared" ca="1" si="55"/>
        <v>nincs</v>
      </c>
      <c r="BA316" s="230" t="str">
        <f t="shared" ca="1" si="56"/>
        <v>nincs</v>
      </c>
      <c r="BB316" s="230" t="str">
        <f t="shared" ca="1" si="57"/>
        <v>nincs</v>
      </c>
      <c r="BC316" s="230" t="str">
        <f t="shared" ca="1" si="58"/>
        <v>nincs</v>
      </c>
      <c r="BD316" s="230" t="str">
        <f t="shared" ca="1" si="59"/>
        <v>nincs</v>
      </c>
      <c r="BE316" s="230" t="str">
        <f t="shared" ca="1" si="60"/>
        <v>nincs</v>
      </c>
      <c r="BG316" s="313" t="s">
        <v>84</v>
      </c>
      <c r="BH316" s="282" t="str">
        <f t="shared" ref="BH316" si="77">IF(BG316="nincs","nincs",ROUND(BG316/1.27,0))</f>
        <v>nincs</v>
      </c>
      <c r="BI316" s="313" t="s">
        <v>84</v>
      </c>
      <c r="BJ316" s="282" t="str">
        <f t="shared" ref="BJ316" si="78">IF(BI316="nincs","nincs",ROUND(BI316/1.27,0))</f>
        <v>nincs</v>
      </c>
      <c r="BK316" s="313" t="s">
        <v>84</v>
      </c>
      <c r="BL316" s="282" t="str">
        <f t="shared" si="68"/>
        <v>nincs</v>
      </c>
      <c r="BM316" s="313" t="s">
        <v>84</v>
      </c>
      <c r="BN316" s="282" t="str">
        <f t="shared" si="69"/>
        <v>nincs</v>
      </c>
      <c r="BO316" s="313" t="s">
        <v>84</v>
      </c>
      <c r="BP316" s="282" t="str">
        <f t="shared" ref="BP316" si="79">IF(BO316="nincs","nincs",ROUND(BO316/1.27,0))</f>
        <v>nincs</v>
      </c>
      <c r="BQ316" s="313" t="s">
        <v>84</v>
      </c>
      <c r="BR316" s="282" t="str">
        <f t="shared" si="24"/>
        <v>nincs</v>
      </c>
      <c r="BS316" s="313" t="s">
        <v>84</v>
      </c>
      <c r="BT316" s="282" t="str">
        <f t="shared" si="25"/>
        <v>nincs</v>
      </c>
      <c r="BU316" s="313" t="s">
        <v>84</v>
      </c>
      <c r="BV316" s="282" t="str">
        <f t="shared" si="26"/>
        <v>nincs</v>
      </c>
      <c r="BW316" s="313" t="s">
        <v>84</v>
      </c>
      <c r="BX316" s="282" t="str">
        <f t="shared" si="27"/>
        <v>nincs</v>
      </c>
      <c r="BZ316" s="313" t="s">
        <v>84</v>
      </c>
      <c r="CA316" s="282" t="str">
        <f t="shared" si="28"/>
        <v>nincs</v>
      </c>
      <c r="CB316" s="313" t="s">
        <v>84</v>
      </c>
      <c r="CC316" s="282" t="str">
        <f t="shared" si="29"/>
        <v>nincs</v>
      </c>
      <c r="CD316" s="313" t="s">
        <v>84</v>
      </c>
      <c r="CE316" s="282" t="str">
        <f t="shared" si="30"/>
        <v>nincs</v>
      </c>
      <c r="CF316" s="313" t="s">
        <v>84</v>
      </c>
      <c r="CG316" s="282" t="str">
        <f t="shared" si="31"/>
        <v>nincs</v>
      </c>
      <c r="CH316" s="313" t="s">
        <v>84</v>
      </c>
      <c r="CI316" s="282" t="str">
        <f t="shared" si="32"/>
        <v>nincs</v>
      </c>
      <c r="CJ316" s="313" t="s">
        <v>84</v>
      </c>
      <c r="CK316" s="282" t="str">
        <f t="shared" si="33"/>
        <v>nincs</v>
      </c>
      <c r="CL316" s="313" t="s">
        <v>84</v>
      </c>
      <c r="CM316" s="282" t="str">
        <f t="shared" si="34"/>
        <v>nincs</v>
      </c>
      <c r="CN316" s="313" t="s">
        <v>84</v>
      </c>
      <c r="CO316" s="282" t="str">
        <f t="shared" si="35"/>
        <v>nincs</v>
      </c>
      <c r="CP316" s="313" t="s">
        <v>84</v>
      </c>
      <c r="CQ316" s="282" t="str">
        <f t="shared" si="36"/>
        <v>nincs</v>
      </c>
    </row>
    <row r="317" spans="1:95" s="56" customFormat="1" x14ac:dyDescent="0.3">
      <c r="A317" s="68">
        <v>30</v>
      </c>
      <c r="B317" s="71" t="s">
        <v>380</v>
      </c>
      <c r="C317" s="199" t="s">
        <v>84</v>
      </c>
      <c r="D317" s="199" t="s">
        <v>84</v>
      </c>
      <c r="E317" s="199" t="s">
        <v>84</v>
      </c>
      <c r="F317" s="199" t="s">
        <v>84</v>
      </c>
      <c r="G317" s="112">
        <f t="shared" si="37"/>
        <v>65600</v>
      </c>
      <c r="H317" s="255">
        <v>646400</v>
      </c>
      <c r="I317" s="255">
        <v>479800</v>
      </c>
      <c r="J317" s="255">
        <v>553900</v>
      </c>
      <c r="K317" s="280">
        <v>431900</v>
      </c>
      <c r="L317" s="280">
        <v>505900</v>
      </c>
      <c r="M317" s="280">
        <v>431900</v>
      </c>
      <c r="N317" s="280">
        <f t="shared" si="38"/>
        <v>505900</v>
      </c>
      <c r="O317" s="280">
        <v>559800</v>
      </c>
      <c r="P317" s="255">
        <v>519500</v>
      </c>
      <c r="Q317" s="255">
        <v>593600</v>
      </c>
      <c r="R317" s="255" t="s">
        <v>84</v>
      </c>
      <c r="S317" s="192" t="s">
        <v>89</v>
      </c>
      <c r="T317" s="194" t="s">
        <v>63</v>
      </c>
      <c r="U317" s="193">
        <v>4125</v>
      </c>
      <c r="V317" s="192">
        <v>1</v>
      </c>
      <c r="W317" s="217">
        <f t="shared" si="39"/>
        <v>154900</v>
      </c>
      <c r="X317" s="192">
        <v>2750</v>
      </c>
      <c r="Y317" s="192">
        <v>2500</v>
      </c>
      <c r="Z317" s="193" t="s">
        <v>91</v>
      </c>
      <c r="AA317" s="192">
        <v>100</v>
      </c>
      <c r="AB317" s="192">
        <v>125</v>
      </c>
      <c r="AC317" s="217">
        <f t="shared" si="41"/>
        <v>65000</v>
      </c>
      <c r="AD317" s="192">
        <v>0</v>
      </c>
      <c r="AE317" s="197" t="s">
        <v>84</v>
      </c>
      <c r="AF317" s="216">
        <f t="shared" si="13"/>
        <v>43100</v>
      </c>
      <c r="AG317" s="224">
        <f t="shared" ca="1" si="76"/>
        <v>471100</v>
      </c>
      <c r="AH317" s="224">
        <f t="shared" ca="1" si="15"/>
        <v>544466.52380952379</v>
      </c>
      <c r="AI317" s="216">
        <f t="shared" si="16"/>
        <v>104400</v>
      </c>
      <c r="AJ317" s="198">
        <v>4</v>
      </c>
      <c r="AK317" s="198" t="s">
        <v>244</v>
      </c>
      <c r="AL317" s="216">
        <f>$J$136</f>
        <v>154900</v>
      </c>
      <c r="AM317" s="216">
        <f>$J$139</f>
        <v>198000</v>
      </c>
      <c r="AN317" s="230">
        <f t="shared" ca="1" si="43"/>
        <v>521300</v>
      </c>
      <c r="AO317" s="230">
        <f t="shared" ca="1" si="44"/>
        <v>410472</v>
      </c>
      <c r="AP317" s="230">
        <f t="shared" ca="1" si="45"/>
        <v>567100</v>
      </c>
      <c r="AQ317" s="230">
        <f t="shared" ca="1" si="46"/>
        <v>446535</v>
      </c>
      <c r="AR317" s="230">
        <f t="shared" ca="1" si="47"/>
        <v>553700</v>
      </c>
      <c r="AS317" s="230">
        <f t="shared" ca="1" si="48"/>
        <v>435984</v>
      </c>
      <c r="AT317" s="230">
        <f t="shared" ca="1" si="49"/>
        <v>599400</v>
      </c>
      <c r="AU317" s="230">
        <f t="shared" ca="1" si="50"/>
        <v>471969</v>
      </c>
      <c r="AV317" s="230">
        <f t="shared" ca="1" si="51"/>
        <v>612300</v>
      </c>
      <c r="AW317" s="230">
        <f t="shared" ca="1" si="52"/>
        <v>482126</v>
      </c>
      <c r="AX317" s="230">
        <f t="shared" ca="1" si="53"/>
        <v>658000</v>
      </c>
      <c r="AY317" s="230">
        <f t="shared" ca="1" si="54"/>
        <v>518110</v>
      </c>
      <c r="AZ317" s="230">
        <f t="shared" ca="1" si="55"/>
        <v>548500</v>
      </c>
      <c r="BA317" s="230">
        <f t="shared" ca="1" si="56"/>
        <v>431890</v>
      </c>
      <c r="BB317" s="230">
        <f t="shared" ca="1" si="57"/>
        <v>580900</v>
      </c>
      <c r="BC317" s="230">
        <f t="shared" ca="1" si="58"/>
        <v>457402</v>
      </c>
      <c r="BD317" s="230">
        <f t="shared" ca="1" si="59"/>
        <v>639400</v>
      </c>
      <c r="BE317" s="230">
        <f t="shared" ca="1" si="60"/>
        <v>503465</v>
      </c>
      <c r="BG317" s="313">
        <v>496400</v>
      </c>
      <c r="BH317" s="282">
        <f>IF(BG317="nincs","nincs",ROUND(BG317/1.27,0))</f>
        <v>390866</v>
      </c>
      <c r="BI317" s="313">
        <v>540100</v>
      </c>
      <c r="BJ317" s="282">
        <f>IF(BI317="nincs","nincs",ROUND(BI317/1.27,0))</f>
        <v>425276</v>
      </c>
      <c r="BK317" s="313">
        <v>527300</v>
      </c>
      <c r="BL317" s="282">
        <f t="shared" si="68"/>
        <v>415197</v>
      </c>
      <c r="BM317" s="313">
        <v>571000</v>
      </c>
      <c r="BN317" s="282">
        <f t="shared" si="69"/>
        <v>449606</v>
      </c>
      <c r="BO317" s="313">
        <v>583100</v>
      </c>
      <c r="BP317" s="282">
        <f>IF(BO317="nincs","nincs",ROUND(BO317/1.27,0))</f>
        <v>459134</v>
      </c>
      <c r="BQ317" s="313">
        <v>626700</v>
      </c>
      <c r="BR317" s="282">
        <f t="shared" si="24"/>
        <v>493465</v>
      </c>
      <c r="BS317" s="313">
        <v>522500</v>
      </c>
      <c r="BT317" s="282">
        <f t="shared" si="25"/>
        <v>411417</v>
      </c>
      <c r="BU317" s="313">
        <v>553300</v>
      </c>
      <c r="BV317" s="282">
        <f t="shared" si="26"/>
        <v>435669</v>
      </c>
      <c r="BW317" s="313">
        <v>609100</v>
      </c>
      <c r="BX317" s="282">
        <f t="shared" si="27"/>
        <v>479606</v>
      </c>
      <c r="BZ317" s="313">
        <v>521300</v>
      </c>
      <c r="CA317" s="282">
        <f t="shared" si="28"/>
        <v>410472</v>
      </c>
      <c r="CB317" s="313">
        <v>567100</v>
      </c>
      <c r="CC317" s="282">
        <f t="shared" si="29"/>
        <v>446535</v>
      </c>
      <c r="CD317" s="313">
        <v>553700</v>
      </c>
      <c r="CE317" s="282">
        <f t="shared" si="30"/>
        <v>435984</v>
      </c>
      <c r="CF317" s="313">
        <v>599400</v>
      </c>
      <c r="CG317" s="282">
        <f t="shared" si="31"/>
        <v>471969</v>
      </c>
      <c r="CH317" s="313">
        <v>612300</v>
      </c>
      <c r="CI317" s="282">
        <f t="shared" si="32"/>
        <v>482126</v>
      </c>
      <c r="CJ317" s="313">
        <v>658000</v>
      </c>
      <c r="CK317" s="282">
        <f t="shared" si="33"/>
        <v>518110</v>
      </c>
      <c r="CL317" s="313">
        <v>548500</v>
      </c>
      <c r="CM317" s="282">
        <f t="shared" si="34"/>
        <v>431890</v>
      </c>
      <c r="CN317" s="313">
        <v>580900</v>
      </c>
      <c r="CO317" s="282">
        <f t="shared" si="35"/>
        <v>457402</v>
      </c>
      <c r="CP317" s="313">
        <v>639400</v>
      </c>
      <c r="CQ317" s="282">
        <f t="shared" si="36"/>
        <v>503465</v>
      </c>
    </row>
    <row r="318" spans="1:95" s="56" customFormat="1" x14ac:dyDescent="0.3">
      <c r="A318" s="66">
        <v>31</v>
      </c>
      <c r="B318" s="71" t="s">
        <v>70</v>
      </c>
      <c r="C318" s="199" t="s">
        <v>84</v>
      </c>
      <c r="D318" s="199" t="s">
        <v>84</v>
      </c>
      <c r="E318" s="199" t="s">
        <v>84</v>
      </c>
      <c r="F318" s="199" t="s">
        <v>84</v>
      </c>
      <c r="G318" s="112">
        <f t="shared" si="37"/>
        <v>65600</v>
      </c>
      <c r="H318" s="255" t="s">
        <v>84</v>
      </c>
      <c r="I318" s="255">
        <v>508500</v>
      </c>
      <c r="J318" s="255">
        <v>590000</v>
      </c>
      <c r="K318" s="280">
        <v>457200</v>
      </c>
      <c r="L318" s="280">
        <v>538700</v>
      </c>
      <c r="M318" s="280">
        <v>457200</v>
      </c>
      <c r="N318" s="280">
        <f t="shared" si="38"/>
        <v>538700</v>
      </c>
      <c r="O318" s="280" t="s">
        <v>84</v>
      </c>
      <c r="P318" s="255">
        <v>542600</v>
      </c>
      <c r="Q318" s="255">
        <v>624100</v>
      </c>
      <c r="R318" s="255" t="s">
        <v>84</v>
      </c>
      <c r="S318" s="192" t="s">
        <v>89</v>
      </c>
      <c r="T318" s="194" t="s">
        <v>63</v>
      </c>
      <c r="U318" s="193">
        <v>4125</v>
      </c>
      <c r="V318" s="192">
        <v>1</v>
      </c>
      <c r="W318" s="217">
        <f t="shared" si="39"/>
        <v>154900</v>
      </c>
      <c r="X318" s="192">
        <v>2750</v>
      </c>
      <c r="Y318" s="192">
        <v>2750</v>
      </c>
      <c r="Z318" s="193" t="s">
        <v>90</v>
      </c>
      <c r="AA318" s="193">
        <v>210</v>
      </c>
      <c r="AB318" s="193">
        <v>210</v>
      </c>
      <c r="AC318" s="217">
        <f t="shared" si="41"/>
        <v>65000</v>
      </c>
      <c r="AD318" s="192">
        <v>0</v>
      </c>
      <c r="AE318" s="197" t="s">
        <v>84</v>
      </c>
      <c r="AF318" s="216">
        <f t="shared" si="13"/>
        <v>43100</v>
      </c>
      <c r="AG318" s="281">
        <f ca="1">($K$223+$K$224)</f>
        <v>450300</v>
      </c>
      <c r="AH318" s="224">
        <f t="shared" ca="1" si="15"/>
        <v>523666.52380952379</v>
      </c>
      <c r="AI318" s="216">
        <f t="shared" si="16"/>
        <v>104400</v>
      </c>
      <c r="AJ318" s="198">
        <v>4</v>
      </c>
      <c r="AK318" s="198" t="s">
        <v>244</v>
      </c>
      <c r="AL318" s="216">
        <f>$J$136</f>
        <v>154900</v>
      </c>
      <c r="AM318" s="216">
        <f>$J$139</f>
        <v>198000</v>
      </c>
      <c r="AN318" s="230" t="str">
        <f t="shared" ca="1" si="43"/>
        <v>nincs</v>
      </c>
      <c r="AO318" s="230" t="str">
        <f t="shared" ca="1" si="44"/>
        <v>nincs</v>
      </c>
      <c r="AP318" s="230" t="str">
        <f t="shared" ca="1" si="45"/>
        <v>nincs</v>
      </c>
      <c r="AQ318" s="230" t="str">
        <f t="shared" ca="1" si="46"/>
        <v>nincs</v>
      </c>
      <c r="AR318" s="230" t="str">
        <f t="shared" ca="1" si="47"/>
        <v>nincs</v>
      </c>
      <c r="AS318" s="230" t="str">
        <f t="shared" ca="1" si="48"/>
        <v>nincs</v>
      </c>
      <c r="AT318" s="230" t="str">
        <f t="shared" ca="1" si="49"/>
        <v>nincs</v>
      </c>
      <c r="AU318" s="230" t="str">
        <f t="shared" ca="1" si="50"/>
        <v>nincs</v>
      </c>
      <c r="AV318" s="230" t="str">
        <f t="shared" ca="1" si="51"/>
        <v>nincs</v>
      </c>
      <c r="AW318" s="230" t="str">
        <f t="shared" ca="1" si="52"/>
        <v>nincs</v>
      </c>
      <c r="AX318" s="230" t="str">
        <f t="shared" ca="1" si="53"/>
        <v>nincs</v>
      </c>
      <c r="AY318" s="230" t="str">
        <f t="shared" ca="1" si="54"/>
        <v>nincs</v>
      </c>
      <c r="AZ318" s="230" t="str">
        <f t="shared" ca="1" si="55"/>
        <v>nincs</v>
      </c>
      <c r="BA318" s="230" t="str">
        <f t="shared" ca="1" si="56"/>
        <v>nincs</v>
      </c>
      <c r="BB318" s="230" t="str">
        <f t="shared" ca="1" si="57"/>
        <v>nincs</v>
      </c>
      <c r="BC318" s="230" t="str">
        <f t="shared" ca="1" si="58"/>
        <v>nincs</v>
      </c>
      <c r="BD318" s="230" t="str">
        <f t="shared" ca="1" si="59"/>
        <v>nincs</v>
      </c>
      <c r="BE318" s="230" t="str">
        <f t="shared" ca="1" si="60"/>
        <v>nincs</v>
      </c>
      <c r="BG318" s="313" t="s">
        <v>84</v>
      </c>
      <c r="BH318" s="282" t="str">
        <f t="shared" ref="BH318:BH319" si="80">IF(BG318="nincs","nincs",ROUND(BG318/1.27,0))</f>
        <v>nincs</v>
      </c>
      <c r="BI318" s="313" t="s">
        <v>84</v>
      </c>
      <c r="BJ318" s="282" t="str">
        <f t="shared" ref="BJ318:BJ319" si="81">IF(BI318="nincs","nincs",ROUND(BI318/1.27,0))</f>
        <v>nincs</v>
      </c>
      <c r="BK318" s="313" t="s">
        <v>84</v>
      </c>
      <c r="BL318" s="282" t="str">
        <f t="shared" si="68"/>
        <v>nincs</v>
      </c>
      <c r="BM318" s="313" t="s">
        <v>84</v>
      </c>
      <c r="BN318" s="282" t="str">
        <f t="shared" si="69"/>
        <v>nincs</v>
      </c>
      <c r="BO318" s="313" t="s">
        <v>84</v>
      </c>
      <c r="BP318" s="282" t="str">
        <f t="shared" ref="BP318:BP319" si="82">IF(BO318="nincs","nincs",ROUND(BO318/1.27,0))</f>
        <v>nincs</v>
      </c>
      <c r="BQ318" s="313" t="s">
        <v>84</v>
      </c>
      <c r="BR318" s="282" t="str">
        <f t="shared" si="24"/>
        <v>nincs</v>
      </c>
      <c r="BS318" s="313" t="s">
        <v>84</v>
      </c>
      <c r="BT318" s="282" t="str">
        <f t="shared" si="25"/>
        <v>nincs</v>
      </c>
      <c r="BU318" s="313" t="s">
        <v>84</v>
      </c>
      <c r="BV318" s="282" t="str">
        <f t="shared" si="26"/>
        <v>nincs</v>
      </c>
      <c r="BW318" s="313" t="s">
        <v>84</v>
      </c>
      <c r="BX318" s="282" t="str">
        <f t="shared" si="27"/>
        <v>nincs</v>
      </c>
      <c r="BZ318" s="313" t="s">
        <v>84</v>
      </c>
      <c r="CA318" s="282" t="str">
        <f t="shared" si="28"/>
        <v>nincs</v>
      </c>
      <c r="CB318" s="313" t="s">
        <v>84</v>
      </c>
      <c r="CC318" s="282" t="str">
        <f t="shared" si="29"/>
        <v>nincs</v>
      </c>
      <c r="CD318" s="313" t="s">
        <v>84</v>
      </c>
      <c r="CE318" s="282" t="str">
        <f t="shared" si="30"/>
        <v>nincs</v>
      </c>
      <c r="CF318" s="313" t="s">
        <v>84</v>
      </c>
      <c r="CG318" s="282" t="str">
        <f t="shared" si="31"/>
        <v>nincs</v>
      </c>
      <c r="CH318" s="313" t="s">
        <v>84</v>
      </c>
      <c r="CI318" s="282" t="str">
        <f t="shared" si="32"/>
        <v>nincs</v>
      </c>
      <c r="CJ318" s="313" t="s">
        <v>84</v>
      </c>
      <c r="CK318" s="282" t="str">
        <f t="shared" si="33"/>
        <v>nincs</v>
      </c>
      <c r="CL318" s="313" t="s">
        <v>84</v>
      </c>
      <c r="CM318" s="282" t="str">
        <f t="shared" si="34"/>
        <v>nincs</v>
      </c>
      <c r="CN318" s="313" t="s">
        <v>84</v>
      </c>
      <c r="CO318" s="282" t="str">
        <f t="shared" si="35"/>
        <v>nincs</v>
      </c>
      <c r="CP318" s="313" t="s">
        <v>84</v>
      </c>
      <c r="CQ318" s="282" t="str">
        <f t="shared" si="36"/>
        <v>nincs</v>
      </c>
    </row>
    <row r="319" spans="1:95" x14ac:dyDescent="0.3">
      <c r="A319" s="68">
        <v>32</v>
      </c>
      <c r="B319" s="72" t="s">
        <v>81</v>
      </c>
      <c r="C319" s="199" t="s">
        <v>84</v>
      </c>
      <c r="D319" s="199" t="s">
        <v>84</v>
      </c>
      <c r="E319" s="199" t="s">
        <v>84</v>
      </c>
      <c r="F319" s="199" t="s">
        <v>84</v>
      </c>
      <c r="G319" s="112">
        <f t="shared" si="37"/>
        <v>65600</v>
      </c>
      <c r="H319" s="255">
        <v>601300</v>
      </c>
      <c r="I319" s="255">
        <v>486500</v>
      </c>
      <c r="J319" s="255">
        <v>552300</v>
      </c>
      <c r="K319" s="280">
        <v>437200</v>
      </c>
      <c r="L319" s="280">
        <v>503100</v>
      </c>
      <c r="M319" s="280">
        <v>437200</v>
      </c>
      <c r="N319" s="280">
        <f t="shared" si="38"/>
        <v>503100</v>
      </c>
      <c r="O319" s="280">
        <v>558000</v>
      </c>
      <c r="P319" s="255">
        <v>495900</v>
      </c>
      <c r="Q319" s="255">
        <v>561800</v>
      </c>
      <c r="R319" s="255" t="s">
        <v>84</v>
      </c>
      <c r="S319" s="192" t="s">
        <v>89</v>
      </c>
      <c r="T319" s="192" t="s">
        <v>61</v>
      </c>
      <c r="U319" s="192">
        <v>3200</v>
      </c>
      <c r="V319" s="192">
        <v>1</v>
      </c>
      <c r="W319" s="217">
        <f t="shared" si="39"/>
        <v>123200</v>
      </c>
      <c r="X319" s="192">
        <v>2940</v>
      </c>
      <c r="Y319" s="192">
        <v>2080</v>
      </c>
      <c r="Z319" s="192" t="s">
        <v>91</v>
      </c>
      <c r="AA319" s="192">
        <v>100</v>
      </c>
      <c r="AB319" s="192">
        <v>125</v>
      </c>
      <c r="AC319" s="217">
        <f t="shared" si="41"/>
        <v>65000</v>
      </c>
      <c r="AD319" s="192">
        <v>0</v>
      </c>
      <c r="AE319" s="197" t="s">
        <v>84</v>
      </c>
      <c r="AF319" s="216">
        <f t="shared" si="13"/>
        <v>43100</v>
      </c>
      <c r="AG319" s="224">
        <f t="shared" ref="AG319:AG324" ca="1" si="83">($K$222+$K$223+$K$224)</f>
        <v>471100</v>
      </c>
      <c r="AH319" s="224">
        <f t="shared" ca="1" si="15"/>
        <v>544466.52380952379</v>
      </c>
      <c r="AI319" s="216">
        <f t="shared" si="16"/>
        <v>130500</v>
      </c>
      <c r="AJ319" s="223">
        <v>5</v>
      </c>
      <c r="AK319" s="198" t="s">
        <v>244</v>
      </c>
      <c r="AL319" s="216">
        <f>$J$134</f>
        <v>123200</v>
      </c>
      <c r="AM319" s="216">
        <f>$J$137</f>
        <v>166300</v>
      </c>
      <c r="AN319" s="230" t="str">
        <f t="shared" ca="1" si="43"/>
        <v>nincs</v>
      </c>
      <c r="AO319" s="230" t="str">
        <f t="shared" ca="1" si="44"/>
        <v>nincs</v>
      </c>
      <c r="AP319" s="230" t="str">
        <f t="shared" ca="1" si="45"/>
        <v>nincs</v>
      </c>
      <c r="AQ319" s="230" t="str">
        <f t="shared" ca="1" si="46"/>
        <v>nincs</v>
      </c>
      <c r="AR319" s="230" t="str">
        <f t="shared" ca="1" si="47"/>
        <v>nincs</v>
      </c>
      <c r="AS319" s="230" t="str">
        <f t="shared" ca="1" si="48"/>
        <v>nincs</v>
      </c>
      <c r="AT319" s="230" t="str">
        <f t="shared" ca="1" si="49"/>
        <v>nincs</v>
      </c>
      <c r="AU319" s="230" t="str">
        <f t="shared" ca="1" si="50"/>
        <v>nincs</v>
      </c>
      <c r="AV319" s="230" t="str">
        <f t="shared" ca="1" si="51"/>
        <v>nincs</v>
      </c>
      <c r="AW319" s="230" t="str">
        <f t="shared" ca="1" si="52"/>
        <v>nincs</v>
      </c>
      <c r="AX319" s="230" t="str">
        <f t="shared" ca="1" si="53"/>
        <v>nincs</v>
      </c>
      <c r="AY319" s="230" t="str">
        <f t="shared" ca="1" si="54"/>
        <v>nincs</v>
      </c>
      <c r="AZ319" s="230" t="str">
        <f t="shared" ca="1" si="55"/>
        <v>nincs</v>
      </c>
      <c r="BA319" s="230" t="str">
        <f t="shared" ca="1" si="56"/>
        <v>nincs</v>
      </c>
      <c r="BB319" s="230" t="str">
        <f t="shared" ca="1" si="57"/>
        <v>nincs</v>
      </c>
      <c r="BC319" s="230" t="str">
        <f t="shared" ca="1" si="58"/>
        <v>nincs</v>
      </c>
      <c r="BD319" s="230" t="str">
        <f t="shared" ca="1" si="59"/>
        <v>nincs</v>
      </c>
      <c r="BE319" s="230" t="str">
        <f t="shared" ca="1" si="60"/>
        <v>nincs</v>
      </c>
      <c r="BG319" s="313" t="s">
        <v>84</v>
      </c>
      <c r="BH319" s="282" t="str">
        <f t="shared" si="80"/>
        <v>nincs</v>
      </c>
      <c r="BI319" s="313" t="s">
        <v>84</v>
      </c>
      <c r="BJ319" s="282" t="str">
        <f t="shared" si="81"/>
        <v>nincs</v>
      </c>
      <c r="BK319" s="313" t="s">
        <v>84</v>
      </c>
      <c r="BL319" s="282" t="str">
        <f t="shared" si="68"/>
        <v>nincs</v>
      </c>
      <c r="BM319" s="313" t="s">
        <v>84</v>
      </c>
      <c r="BN319" s="282" t="str">
        <f t="shared" si="69"/>
        <v>nincs</v>
      </c>
      <c r="BO319" s="313" t="s">
        <v>84</v>
      </c>
      <c r="BP319" s="282" t="str">
        <f t="shared" si="82"/>
        <v>nincs</v>
      </c>
      <c r="BQ319" s="313" t="s">
        <v>84</v>
      </c>
      <c r="BR319" s="282" t="str">
        <f t="shared" si="24"/>
        <v>nincs</v>
      </c>
      <c r="BS319" s="313" t="s">
        <v>84</v>
      </c>
      <c r="BT319" s="282" t="str">
        <f t="shared" si="25"/>
        <v>nincs</v>
      </c>
      <c r="BU319" s="313" t="s">
        <v>84</v>
      </c>
      <c r="BV319" s="282" t="str">
        <f t="shared" si="26"/>
        <v>nincs</v>
      </c>
      <c r="BW319" s="313" t="s">
        <v>84</v>
      </c>
      <c r="BX319" s="282" t="str">
        <f t="shared" si="27"/>
        <v>nincs</v>
      </c>
      <c r="BZ319" s="313" t="s">
        <v>84</v>
      </c>
      <c r="CA319" s="282" t="str">
        <f t="shared" si="28"/>
        <v>nincs</v>
      </c>
      <c r="CB319" s="313" t="s">
        <v>84</v>
      </c>
      <c r="CC319" s="282" t="str">
        <f t="shared" si="29"/>
        <v>nincs</v>
      </c>
      <c r="CD319" s="313" t="s">
        <v>84</v>
      </c>
      <c r="CE319" s="282" t="str">
        <f t="shared" si="30"/>
        <v>nincs</v>
      </c>
      <c r="CF319" s="313" t="s">
        <v>84</v>
      </c>
      <c r="CG319" s="282" t="str">
        <f t="shared" si="31"/>
        <v>nincs</v>
      </c>
      <c r="CH319" s="313" t="s">
        <v>84</v>
      </c>
      <c r="CI319" s="282" t="str">
        <f t="shared" si="32"/>
        <v>nincs</v>
      </c>
      <c r="CJ319" s="313" t="s">
        <v>84</v>
      </c>
      <c r="CK319" s="282" t="str">
        <f t="shared" si="33"/>
        <v>nincs</v>
      </c>
      <c r="CL319" s="313" t="s">
        <v>84</v>
      </c>
      <c r="CM319" s="282" t="str">
        <f t="shared" si="34"/>
        <v>nincs</v>
      </c>
      <c r="CN319" s="313" t="s">
        <v>84</v>
      </c>
      <c r="CO319" s="282" t="str">
        <f t="shared" si="35"/>
        <v>nincs</v>
      </c>
      <c r="CP319" s="313" t="s">
        <v>84</v>
      </c>
      <c r="CQ319" s="282" t="str">
        <f t="shared" si="36"/>
        <v>nincs</v>
      </c>
    </row>
    <row r="320" spans="1:95" s="56" customFormat="1" x14ac:dyDescent="0.3">
      <c r="A320" s="66">
        <v>33</v>
      </c>
      <c r="B320" s="71" t="s">
        <v>381</v>
      </c>
      <c r="C320" s="199" t="s">
        <v>84</v>
      </c>
      <c r="D320" s="199" t="s">
        <v>84</v>
      </c>
      <c r="E320" s="199" t="s">
        <v>84</v>
      </c>
      <c r="F320" s="199" t="s">
        <v>84</v>
      </c>
      <c r="G320" s="112">
        <f t="shared" si="37"/>
        <v>65600</v>
      </c>
      <c r="H320" s="255">
        <v>602600</v>
      </c>
      <c r="I320" s="255">
        <v>488000</v>
      </c>
      <c r="J320" s="255">
        <v>552600</v>
      </c>
      <c r="K320" s="280">
        <v>438000</v>
      </c>
      <c r="L320" s="280">
        <v>502600</v>
      </c>
      <c r="M320" s="280">
        <v>438000</v>
      </c>
      <c r="N320" s="280">
        <f t="shared" si="38"/>
        <v>502600</v>
      </c>
      <c r="O320" s="280">
        <v>559200</v>
      </c>
      <c r="P320" s="255">
        <v>496500</v>
      </c>
      <c r="Q320" s="255">
        <v>561000</v>
      </c>
      <c r="R320" s="255" t="s">
        <v>84</v>
      </c>
      <c r="S320" s="192" t="s">
        <v>89</v>
      </c>
      <c r="T320" s="193" t="s">
        <v>61</v>
      </c>
      <c r="U320" s="192">
        <v>3200</v>
      </c>
      <c r="V320" s="192">
        <v>1</v>
      </c>
      <c r="W320" s="217">
        <f t="shared" si="39"/>
        <v>123200</v>
      </c>
      <c r="X320" s="192">
        <v>3000</v>
      </c>
      <c r="Y320" s="192">
        <v>2000</v>
      </c>
      <c r="Z320" s="193" t="s">
        <v>91</v>
      </c>
      <c r="AA320" s="192">
        <v>100</v>
      </c>
      <c r="AB320" s="192">
        <v>125</v>
      </c>
      <c r="AC320" s="217">
        <f t="shared" si="41"/>
        <v>65000</v>
      </c>
      <c r="AD320" s="192">
        <v>0</v>
      </c>
      <c r="AE320" s="197" t="s">
        <v>84</v>
      </c>
      <c r="AF320" s="216">
        <f t="shared" ref="AF320:AF342" si="84">$F$135-$F$134</f>
        <v>43100</v>
      </c>
      <c r="AG320" s="224">
        <f t="shared" ca="1" si="83"/>
        <v>471100</v>
      </c>
      <c r="AH320" s="224">
        <f t="shared" ref="AH320:AH351" ca="1" si="85">AG320-$K$224+$K$225+$K$226+$K$227</f>
        <v>544466.52380952379</v>
      </c>
      <c r="AI320" s="216">
        <f t="shared" ref="AI320:AI351" si="86">AJ320*($C$184+IF($B$173=1,0,$C$185))</f>
        <v>130500</v>
      </c>
      <c r="AJ320" s="198">
        <v>5</v>
      </c>
      <c r="AK320" s="198" t="s">
        <v>244</v>
      </c>
      <c r="AL320" s="216">
        <f>$J$134</f>
        <v>123200</v>
      </c>
      <c r="AM320" s="216">
        <f>$J$137</f>
        <v>166300</v>
      </c>
      <c r="AN320" s="230">
        <f t="shared" ca="1" si="43"/>
        <v>474700</v>
      </c>
      <c r="AO320" s="230">
        <f t="shared" ca="1" si="44"/>
        <v>373780</v>
      </c>
      <c r="AP320" s="230">
        <f t="shared" ca="1" si="45"/>
        <v>522500</v>
      </c>
      <c r="AQ320" s="230">
        <f t="shared" ca="1" si="46"/>
        <v>411417</v>
      </c>
      <c r="AR320" s="230">
        <f t="shared" ca="1" si="47"/>
        <v>507100</v>
      </c>
      <c r="AS320" s="230">
        <f t="shared" ca="1" si="48"/>
        <v>399291</v>
      </c>
      <c r="AT320" s="230">
        <f t="shared" ca="1" si="49"/>
        <v>554900</v>
      </c>
      <c r="AU320" s="230">
        <f t="shared" ca="1" si="50"/>
        <v>436929</v>
      </c>
      <c r="AV320" s="230">
        <f t="shared" ca="1" si="51"/>
        <v>454700</v>
      </c>
      <c r="AW320" s="230">
        <f t="shared" ca="1" si="52"/>
        <v>358031</v>
      </c>
      <c r="AX320" s="230">
        <f t="shared" ca="1" si="53"/>
        <v>613400</v>
      </c>
      <c r="AY320" s="230">
        <f t="shared" ca="1" si="54"/>
        <v>482992</v>
      </c>
      <c r="AZ320" s="230">
        <f t="shared" ca="1" si="55"/>
        <v>502000</v>
      </c>
      <c r="BA320" s="230">
        <f t="shared" ca="1" si="56"/>
        <v>395276</v>
      </c>
      <c r="BB320" s="230">
        <f t="shared" ca="1" si="57"/>
        <v>534400</v>
      </c>
      <c r="BC320" s="230">
        <f t="shared" ca="1" si="58"/>
        <v>420787</v>
      </c>
      <c r="BD320" s="230">
        <f t="shared" ca="1" si="59"/>
        <v>593000</v>
      </c>
      <c r="BE320" s="230">
        <f t="shared" ca="1" si="60"/>
        <v>466929</v>
      </c>
      <c r="BG320" s="313">
        <v>452100</v>
      </c>
      <c r="BH320" s="282">
        <f>IF(BG320="nincs","nincs",ROUND(BG320/1.27,0))</f>
        <v>355984</v>
      </c>
      <c r="BI320" s="313">
        <v>497600</v>
      </c>
      <c r="BJ320" s="282">
        <f>IF(BI320="nincs","nincs",ROUND(BI320/1.27,0))</f>
        <v>391811</v>
      </c>
      <c r="BK320" s="313">
        <v>483000</v>
      </c>
      <c r="BL320" s="282">
        <f t="shared" si="68"/>
        <v>380315</v>
      </c>
      <c r="BM320" s="313">
        <v>528400</v>
      </c>
      <c r="BN320" s="282">
        <f t="shared" si="69"/>
        <v>416063</v>
      </c>
      <c r="BO320" s="313">
        <v>538700</v>
      </c>
      <c r="BP320" s="282">
        <f>IF(BO320="nincs","nincs",ROUND(BO320/1.27,0))</f>
        <v>424173</v>
      </c>
      <c r="BQ320" s="313">
        <v>584200</v>
      </c>
      <c r="BR320" s="282">
        <f t="shared" si="24"/>
        <v>460000</v>
      </c>
      <c r="BS320" s="313">
        <v>478200</v>
      </c>
      <c r="BT320" s="282">
        <f t="shared" si="25"/>
        <v>376535</v>
      </c>
      <c r="BU320" s="313">
        <v>509000</v>
      </c>
      <c r="BV320" s="282">
        <f t="shared" si="26"/>
        <v>400787</v>
      </c>
      <c r="BW320" s="313">
        <v>564800</v>
      </c>
      <c r="BX320" s="282">
        <f t="shared" si="27"/>
        <v>444724</v>
      </c>
      <c r="BZ320" s="313">
        <v>474700</v>
      </c>
      <c r="CA320" s="282">
        <f t="shared" ref="CA320:CA351" si="87">IF(BZ320="nincs","nincs",ROUND(BZ320/1.27,0))</f>
        <v>373780</v>
      </c>
      <c r="CB320" s="313">
        <v>522500</v>
      </c>
      <c r="CC320" s="282">
        <f t="shared" ref="CC320:CC351" si="88">IF(CB320="nincs","nincs",ROUND(CB320/1.27,0))</f>
        <v>411417</v>
      </c>
      <c r="CD320" s="313">
        <v>507100</v>
      </c>
      <c r="CE320" s="282">
        <f t="shared" ref="CE320:CE351" si="89">IF(CD320="nincs","nincs",ROUND(CD320/1.27,0))</f>
        <v>399291</v>
      </c>
      <c r="CF320" s="313">
        <v>554900</v>
      </c>
      <c r="CG320" s="282">
        <f t="shared" ref="CG320:CG351" si="90">IF(CF320="nincs","nincs",ROUND(CF320/1.27,0))</f>
        <v>436929</v>
      </c>
      <c r="CH320" s="313">
        <v>454700</v>
      </c>
      <c r="CI320" s="282">
        <f t="shared" ref="CI320:CI351" si="91">IF(CH320="nincs","nincs",ROUND(CH320/1.27,0))</f>
        <v>358031</v>
      </c>
      <c r="CJ320" s="313">
        <v>613400</v>
      </c>
      <c r="CK320" s="282">
        <f t="shared" ref="CK320:CK351" si="92">IF(CJ320="nincs","nincs",ROUND(CJ320/1.27,0))</f>
        <v>482992</v>
      </c>
      <c r="CL320" s="313">
        <v>502000</v>
      </c>
      <c r="CM320" s="282">
        <f t="shared" ref="CM320:CM351" si="93">IF(CL320="nincs","nincs",ROUND(CL320/1.27,0))</f>
        <v>395276</v>
      </c>
      <c r="CN320" s="313">
        <v>534400</v>
      </c>
      <c r="CO320" s="282">
        <f t="shared" ref="CO320:CO351" si="94">IF(CN320="nincs","nincs",ROUND(CN320/1.27,0))</f>
        <v>420787</v>
      </c>
      <c r="CP320" s="313">
        <v>593000</v>
      </c>
      <c r="CQ320" s="282">
        <f t="shared" ref="CQ320:CQ351" si="95">IF(CP320="nincs","nincs",ROUND(CP320/1.27,0))</f>
        <v>466929</v>
      </c>
    </row>
    <row r="321" spans="1:95" s="56" customFormat="1" x14ac:dyDescent="0.3">
      <c r="A321" s="68">
        <v>34</v>
      </c>
      <c r="B321" s="71" t="s">
        <v>382</v>
      </c>
      <c r="C321" s="199" t="s">
        <v>84</v>
      </c>
      <c r="D321" s="199" t="s">
        <v>84</v>
      </c>
      <c r="E321" s="199" t="s">
        <v>84</v>
      </c>
      <c r="F321" s="199" t="s">
        <v>84</v>
      </c>
      <c r="G321" s="112">
        <f t="shared" si="37"/>
        <v>65600</v>
      </c>
      <c r="H321" s="255">
        <v>601300</v>
      </c>
      <c r="I321" s="255">
        <v>486500</v>
      </c>
      <c r="J321" s="255">
        <v>555100</v>
      </c>
      <c r="K321" s="280">
        <v>437200</v>
      </c>
      <c r="L321" s="280">
        <v>505900</v>
      </c>
      <c r="M321" s="280">
        <v>437200</v>
      </c>
      <c r="N321" s="280">
        <f t="shared" si="38"/>
        <v>505900</v>
      </c>
      <c r="O321" s="280">
        <v>558000</v>
      </c>
      <c r="P321" s="255">
        <v>495900</v>
      </c>
      <c r="Q321" s="255">
        <v>564600</v>
      </c>
      <c r="R321" s="255" t="s">
        <v>84</v>
      </c>
      <c r="S321" s="192" t="s">
        <v>89</v>
      </c>
      <c r="T321" s="193" t="s">
        <v>61</v>
      </c>
      <c r="U321" s="192">
        <v>3200</v>
      </c>
      <c r="V321" s="192">
        <v>1</v>
      </c>
      <c r="W321" s="217">
        <f t="shared" si="39"/>
        <v>123200</v>
      </c>
      <c r="X321" s="192">
        <v>3000</v>
      </c>
      <c r="Y321" s="192">
        <v>2125</v>
      </c>
      <c r="Z321" s="193" t="s">
        <v>91</v>
      </c>
      <c r="AA321" s="192">
        <v>100</v>
      </c>
      <c r="AB321" s="192">
        <v>125</v>
      </c>
      <c r="AC321" s="217">
        <f t="shared" si="41"/>
        <v>65000</v>
      </c>
      <c r="AD321" s="192">
        <v>0</v>
      </c>
      <c r="AE321" s="197" t="s">
        <v>84</v>
      </c>
      <c r="AF321" s="216">
        <f t="shared" si="84"/>
        <v>43100</v>
      </c>
      <c r="AG321" s="224">
        <f t="shared" ca="1" si="83"/>
        <v>471100</v>
      </c>
      <c r="AH321" s="224">
        <f t="shared" ca="1" si="85"/>
        <v>544466.52380952379</v>
      </c>
      <c r="AI321" s="216">
        <f t="shared" si="86"/>
        <v>130500</v>
      </c>
      <c r="AJ321" s="198">
        <v>5</v>
      </c>
      <c r="AK321" s="198" t="s">
        <v>244</v>
      </c>
      <c r="AL321" s="216">
        <f>$J$134</f>
        <v>123200</v>
      </c>
      <c r="AM321" s="216">
        <f>$J$137</f>
        <v>166300</v>
      </c>
      <c r="AN321" s="230">
        <f t="shared" ca="1" si="43"/>
        <v>475500</v>
      </c>
      <c r="AO321" s="230">
        <f t="shared" ca="1" si="44"/>
        <v>374409</v>
      </c>
      <c r="AP321" s="230">
        <f t="shared" ca="1" si="45"/>
        <v>523200</v>
      </c>
      <c r="AQ321" s="230">
        <f t="shared" ca="1" si="46"/>
        <v>411969</v>
      </c>
      <c r="AR321" s="230">
        <f t="shared" ca="1" si="47"/>
        <v>507900</v>
      </c>
      <c r="AS321" s="230">
        <f t="shared" ca="1" si="48"/>
        <v>399921</v>
      </c>
      <c r="AT321" s="230">
        <f t="shared" ca="1" si="49"/>
        <v>555600</v>
      </c>
      <c r="AU321" s="230">
        <f t="shared" ca="1" si="50"/>
        <v>437480</v>
      </c>
      <c r="AV321" s="230">
        <f t="shared" ca="1" si="51"/>
        <v>566400</v>
      </c>
      <c r="AW321" s="230">
        <f t="shared" ca="1" si="52"/>
        <v>445984</v>
      </c>
      <c r="AX321" s="230">
        <f t="shared" ca="1" si="53"/>
        <v>614200</v>
      </c>
      <c r="AY321" s="230">
        <f t="shared" ca="1" si="54"/>
        <v>483622</v>
      </c>
      <c r="AZ321" s="230">
        <f t="shared" ca="1" si="55"/>
        <v>502800</v>
      </c>
      <c r="BA321" s="230">
        <f t="shared" ca="1" si="56"/>
        <v>395906</v>
      </c>
      <c r="BB321" s="230">
        <f t="shared" ca="1" si="57"/>
        <v>535200</v>
      </c>
      <c r="BC321" s="230">
        <f t="shared" ca="1" si="58"/>
        <v>421417</v>
      </c>
      <c r="BD321" s="230">
        <f t="shared" ca="1" si="59"/>
        <v>593700</v>
      </c>
      <c r="BE321" s="230">
        <f t="shared" ca="1" si="60"/>
        <v>467480</v>
      </c>
      <c r="BG321" s="313">
        <v>453000</v>
      </c>
      <c r="BH321" s="282">
        <f>IF(BG321="nincs","nincs",ROUND(BG321/1.27,0))</f>
        <v>356693</v>
      </c>
      <c r="BI321" s="313">
        <v>498500</v>
      </c>
      <c r="BJ321" s="282">
        <f>IF(BI321="nincs","nincs",ROUND(BI321/1.27,0))</f>
        <v>392520</v>
      </c>
      <c r="BK321" s="313">
        <v>483900</v>
      </c>
      <c r="BL321" s="282">
        <f>IF(BK321="nincs","nincs",ROUND(BK321/1.27,0))</f>
        <v>381024</v>
      </c>
      <c r="BM321" s="313">
        <v>529300</v>
      </c>
      <c r="BN321" s="282">
        <f t="shared" si="69"/>
        <v>416772</v>
      </c>
      <c r="BO321" s="313">
        <v>539600</v>
      </c>
      <c r="BP321" s="282">
        <f>IF(BO321="nincs","nincs",ROUND(BO321/1.27,0))</f>
        <v>424882</v>
      </c>
      <c r="BQ321" s="313">
        <v>585100</v>
      </c>
      <c r="BR321" s="282">
        <f t="shared" si="24"/>
        <v>460709</v>
      </c>
      <c r="BS321" s="313">
        <v>478900</v>
      </c>
      <c r="BT321" s="282">
        <f t="shared" si="25"/>
        <v>377087</v>
      </c>
      <c r="BU321" s="313">
        <v>509800</v>
      </c>
      <c r="BV321" s="282">
        <f t="shared" si="26"/>
        <v>401417</v>
      </c>
      <c r="BW321" s="313">
        <v>565500</v>
      </c>
      <c r="BX321" s="282">
        <f t="shared" si="27"/>
        <v>445276</v>
      </c>
      <c r="BZ321" s="313">
        <v>475500</v>
      </c>
      <c r="CA321" s="282">
        <f t="shared" si="87"/>
        <v>374409</v>
      </c>
      <c r="CB321" s="313">
        <v>523200</v>
      </c>
      <c r="CC321" s="282">
        <f t="shared" si="88"/>
        <v>411969</v>
      </c>
      <c r="CD321" s="313">
        <v>507900</v>
      </c>
      <c r="CE321" s="282">
        <f t="shared" si="89"/>
        <v>399921</v>
      </c>
      <c r="CF321" s="313">
        <v>555600</v>
      </c>
      <c r="CG321" s="282">
        <f t="shared" si="90"/>
        <v>437480</v>
      </c>
      <c r="CH321" s="313">
        <v>566400</v>
      </c>
      <c r="CI321" s="282">
        <f t="shared" si="91"/>
        <v>445984</v>
      </c>
      <c r="CJ321" s="313">
        <v>614200</v>
      </c>
      <c r="CK321" s="282">
        <f t="shared" si="92"/>
        <v>483622</v>
      </c>
      <c r="CL321" s="313">
        <v>502800</v>
      </c>
      <c r="CM321" s="282">
        <f t="shared" si="93"/>
        <v>395906</v>
      </c>
      <c r="CN321" s="313">
        <v>535200</v>
      </c>
      <c r="CO321" s="282">
        <f t="shared" si="94"/>
        <v>421417</v>
      </c>
      <c r="CP321" s="313">
        <v>593700</v>
      </c>
      <c r="CQ321" s="282">
        <f t="shared" si="95"/>
        <v>467480</v>
      </c>
    </row>
    <row r="322" spans="1:95" s="56" customFormat="1" x14ac:dyDescent="0.3">
      <c r="A322" s="66">
        <v>35</v>
      </c>
      <c r="B322" s="71" t="s">
        <v>383</v>
      </c>
      <c r="C322" s="199" t="s">
        <v>84</v>
      </c>
      <c r="D322" s="199" t="s">
        <v>84</v>
      </c>
      <c r="E322" s="199" t="s">
        <v>84</v>
      </c>
      <c r="F322" s="199" t="s">
        <v>84</v>
      </c>
      <c r="G322" s="112">
        <f t="shared" si="37"/>
        <v>65600</v>
      </c>
      <c r="H322" s="255">
        <v>624900</v>
      </c>
      <c r="I322" s="255">
        <v>490000</v>
      </c>
      <c r="J322" s="255">
        <v>562800</v>
      </c>
      <c r="K322" s="280">
        <v>440300</v>
      </c>
      <c r="L322" s="280">
        <v>513100</v>
      </c>
      <c r="M322" s="280">
        <v>440300</v>
      </c>
      <c r="N322" s="280">
        <f t="shared" si="38"/>
        <v>513100</v>
      </c>
      <c r="O322" s="280">
        <v>563300</v>
      </c>
      <c r="P322" s="255">
        <v>511300</v>
      </c>
      <c r="Q322" s="255">
        <v>584100</v>
      </c>
      <c r="R322" s="255" t="s">
        <v>84</v>
      </c>
      <c r="S322" s="192" t="s">
        <v>89</v>
      </c>
      <c r="T322" s="194" t="s">
        <v>62</v>
      </c>
      <c r="U322" s="193">
        <v>3450</v>
      </c>
      <c r="V322" s="192">
        <v>1</v>
      </c>
      <c r="W322" s="217">
        <f t="shared" si="39"/>
        <v>133300</v>
      </c>
      <c r="X322" s="192">
        <v>3000</v>
      </c>
      <c r="Y322" s="192">
        <v>2250</v>
      </c>
      <c r="Z322" s="193" t="s">
        <v>91</v>
      </c>
      <c r="AA322" s="192">
        <v>100</v>
      </c>
      <c r="AB322" s="192">
        <v>125</v>
      </c>
      <c r="AC322" s="217">
        <f t="shared" si="41"/>
        <v>65000</v>
      </c>
      <c r="AD322" s="192">
        <v>0</v>
      </c>
      <c r="AE322" s="197" t="s">
        <v>84</v>
      </c>
      <c r="AF322" s="216">
        <f t="shared" si="84"/>
        <v>43100</v>
      </c>
      <c r="AG322" s="224">
        <f t="shared" ca="1" si="83"/>
        <v>471100</v>
      </c>
      <c r="AH322" s="224">
        <f t="shared" ca="1" si="85"/>
        <v>544466.52380952379</v>
      </c>
      <c r="AI322" s="216">
        <f t="shared" si="86"/>
        <v>130500</v>
      </c>
      <c r="AJ322" s="198">
        <v>5</v>
      </c>
      <c r="AK322" s="198" t="s">
        <v>244</v>
      </c>
      <c r="AL322" s="216">
        <f>$J$135</f>
        <v>133300</v>
      </c>
      <c r="AM322" s="216">
        <f>$J$138</f>
        <v>176400</v>
      </c>
      <c r="AN322" s="230">
        <f t="shared" ca="1" si="43"/>
        <v>495000</v>
      </c>
      <c r="AO322" s="230">
        <f t="shared" ca="1" si="44"/>
        <v>389764</v>
      </c>
      <c r="AP322" s="230">
        <f t="shared" ca="1" si="45"/>
        <v>542500</v>
      </c>
      <c r="AQ322" s="230">
        <f t="shared" ca="1" si="46"/>
        <v>427165</v>
      </c>
      <c r="AR322" s="230">
        <f t="shared" ca="1" si="47"/>
        <v>527400</v>
      </c>
      <c r="AS322" s="230">
        <f t="shared" ca="1" si="48"/>
        <v>415276</v>
      </c>
      <c r="AT322" s="230">
        <f t="shared" ca="1" si="49"/>
        <v>574900</v>
      </c>
      <c r="AU322" s="230">
        <f t="shared" ca="1" si="50"/>
        <v>452677</v>
      </c>
      <c r="AV322" s="230">
        <f t="shared" ca="1" si="51"/>
        <v>586000</v>
      </c>
      <c r="AW322" s="230">
        <f t="shared" ca="1" si="52"/>
        <v>461417</v>
      </c>
      <c r="AX322" s="230">
        <f t="shared" ca="1" si="53"/>
        <v>633500</v>
      </c>
      <c r="AY322" s="230">
        <f t="shared" ca="1" si="54"/>
        <v>498819</v>
      </c>
      <c r="AZ322" s="230">
        <f t="shared" ca="1" si="55"/>
        <v>522400</v>
      </c>
      <c r="BA322" s="230">
        <f t="shared" ca="1" si="56"/>
        <v>411339</v>
      </c>
      <c r="BB322" s="230">
        <f t="shared" ca="1" si="57"/>
        <v>554700</v>
      </c>
      <c r="BC322" s="230">
        <f t="shared" ca="1" si="58"/>
        <v>436772</v>
      </c>
      <c r="BD322" s="230">
        <f t="shared" ca="1" si="59"/>
        <v>613300</v>
      </c>
      <c r="BE322" s="230">
        <f t="shared" ca="1" si="60"/>
        <v>482913</v>
      </c>
      <c r="BG322" s="313">
        <v>471600</v>
      </c>
      <c r="BH322" s="282">
        <f>IF(BG322="nincs","nincs",ROUND(BG322/1.27,0))</f>
        <v>371339</v>
      </c>
      <c r="BI322" s="313">
        <v>516800</v>
      </c>
      <c r="BJ322" s="282">
        <f>IF(BI322="nincs","nincs",ROUND(BI322/1.27,0))</f>
        <v>406929</v>
      </c>
      <c r="BK322" s="313">
        <v>502400</v>
      </c>
      <c r="BL322" s="282">
        <f>IF(BK322="nincs","nincs",ROUND(BK322/1.27,0))</f>
        <v>395591</v>
      </c>
      <c r="BM322" s="313">
        <v>547600</v>
      </c>
      <c r="BN322" s="282">
        <f t="shared" si="69"/>
        <v>431181</v>
      </c>
      <c r="BO322" s="313">
        <v>558200</v>
      </c>
      <c r="BP322" s="282">
        <f>IF(BO322="nincs","nincs",ROUND(BO322/1.27,0))</f>
        <v>439528</v>
      </c>
      <c r="BQ322" s="313">
        <v>603400</v>
      </c>
      <c r="BR322" s="282">
        <f t="shared" si="24"/>
        <v>475118</v>
      </c>
      <c r="BS322" s="313">
        <v>497600</v>
      </c>
      <c r="BT322" s="282">
        <f t="shared" si="25"/>
        <v>391811</v>
      </c>
      <c r="BU322" s="313">
        <v>528400</v>
      </c>
      <c r="BV322" s="282">
        <f t="shared" si="26"/>
        <v>416063</v>
      </c>
      <c r="BW322" s="313">
        <v>584200</v>
      </c>
      <c r="BX322" s="282">
        <f t="shared" si="27"/>
        <v>460000</v>
      </c>
      <c r="BZ322" s="313">
        <v>495000</v>
      </c>
      <c r="CA322" s="282">
        <f t="shared" si="87"/>
        <v>389764</v>
      </c>
      <c r="CB322" s="313">
        <v>542500</v>
      </c>
      <c r="CC322" s="282">
        <f t="shared" si="88"/>
        <v>427165</v>
      </c>
      <c r="CD322" s="313">
        <v>527400</v>
      </c>
      <c r="CE322" s="282">
        <f t="shared" si="89"/>
        <v>415276</v>
      </c>
      <c r="CF322" s="313">
        <v>574900</v>
      </c>
      <c r="CG322" s="282">
        <f t="shared" si="90"/>
        <v>452677</v>
      </c>
      <c r="CH322" s="313">
        <v>586000</v>
      </c>
      <c r="CI322" s="282">
        <f t="shared" si="91"/>
        <v>461417</v>
      </c>
      <c r="CJ322" s="313">
        <v>633500</v>
      </c>
      <c r="CK322" s="282">
        <f t="shared" si="92"/>
        <v>498819</v>
      </c>
      <c r="CL322" s="313">
        <v>522400</v>
      </c>
      <c r="CM322" s="282">
        <f t="shared" si="93"/>
        <v>411339</v>
      </c>
      <c r="CN322" s="313">
        <v>554700</v>
      </c>
      <c r="CO322" s="282">
        <f t="shared" si="94"/>
        <v>436772</v>
      </c>
      <c r="CP322" s="313">
        <v>613300</v>
      </c>
      <c r="CQ322" s="282">
        <f t="shared" si="95"/>
        <v>482913</v>
      </c>
    </row>
    <row r="323" spans="1:95" s="56" customFormat="1" x14ac:dyDescent="0.3">
      <c r="A323" s="68">
        <v>36</v>
      </c>
      <c r="B323" s="71" t="s">
        <v>71</v>
      </c>
      <c r="C323" s="199" t="s">
        <v>84</v>
      </c>
      <c r="D323" s="199" t="s">
        <v>84</v>
      </c>
      <c r="E323" s="199" t="s">
        <v>84</v>
      </c>
      <c r="F323" s="199" t="s">
        <v>84</v>
      </c>
      <c r="G323" s="112">
        <f t="shared" si="37"/>
        <v>65600</v>
      </c>
      <c r="H323" s="255">
        <v>656600</v>
      </c>
      <c r="I323" s="255">
        <v>502600</v>
      </c>
      <c r="J323" s="255">
        <v>579200</v>
      </c>
      <c r="K323" s="280">
        <v>452100</v>
      </c>
      <c r="L323" s="280">
        <v>528700</v>
      </c>
      <c r="M323" s="280">
        <v>452100</v>
      </c>
      <c r="N323" s="280">
        <f t="shared" si="38"/>
        <v>528700</v>
      </c>
      <c r="O323" s="280">
        <v>589200</v>
      </c>
      <c r="P323" s="255">
        <v>520500</v>
      </c>
      <c r="Q323" s="255">
        <v>597200</v>
      </c>
      <c r="R323" s="255" t="s">
        <v>84</v>
      </c>
      <c r="S323" s="192" t="s">
        <v>89</v>
      </c>
      <c r="T323" s="194" t="s">
        <v>62</v>
      </c>
      <c r="U323" s="193">
        <v>3450</v>
      </c>
      <c r="V323" s="192">
        <v>1</v>
      </c>
      <c r="W323" s="217">
        <f t="shared" si="39"/>
        <v>133300</v>
      </c>
      <c r="X323" s="192">
        <v>3000</v>
      </c>
      <c r="Y323" s="192">
        <v>2375</v>
      </c>
      <c r="Z323" s="193" t="s">
        <v>91</v>
      </c>
      <c r="AA323" s="192">
        <v>100</v>
      </c>
      <c r="AB323" s="192">
        <v>125</v>
      </c>
      <c r="AC323" s="217">
        <f t="shared" si="41"/>
        <v>65000</v>
      </c>
      <c r="AD323" s="192">
        <v>0</v>
      </c>
      <c r="AE323" s="197" t="s">
        <v>84</v>
      </c>
      <c r="AF323" s="216">
        <f t="shared" si="84"/>
        <v>43100</v>
      </c>
      <c r="AG323" s="224">
        <f t="shared" ca="1" si="83"/>
        <v>471100</v>
      </c>
      <c r="AH323" s="224">
        <f t="shared" ca="1" si="85"/>
        <v>544466.52380952379</v>
      </c>
      <c r="AI323" s="216">
        <f t="shared" si="86"/>
        <v>130500</v>
      </c>
      <c r="AJ323" s="198">
        <v>5</v>
      </c>
      <c r="AK323" s="198" t="s">
        <v>244</v>
      </c>
      <c r="AL323" s="216">
        <f>$J$135</f>
        <v>133300</v>
      </c>
      <c r="AM323" s="216">
        <f>$J$138</f>
        <v>176400</v>
      </c>
      <c r="AN323" s="230" t="str">
        <f t="shared" ca="1" si="43"/>
        <v>nincs</v>
      </c>
      <c r="AO323" s="230" t="str">
        <f t="shared" ca="1" si="44"/>
        <v>nincs</v>
      </c>
      <c r="AP323" s="230" t="str">
        <f t="shared" ca="1" si="45"/>
        <v>nincs</v>
      </c>
      <c r="AQ323" s="230" t="str">
        <f t="shared" ca="1" si="46"/>
        <v>nincs</v>
      </c>
      <c r="AR323" s="230" t="str">
        <f t="shared" ca="1" si="47"/>
        <v>nincs</v>
      </c>
      <c r="AS323" s="230" t="str">
        <f t="shared" ca="1" si="48"/>
        <v>nincs</v>
      </c>
      <c r="AT323" s="230" t="str">
        <f t="shared" ca="1" si="49"/>
        <v>nincs</v>
      </c>
      <c r="AU323" s="230" t="str">
        <f t="shared" ca="1" si="50"/>
        <v>nincs</v>
      </c>
      <c r="AV323" s="230" t="str">
        <f t="shared" ca="1" si="51"/>
        <v>nincs</v>
      </c>
      <c r="AW323" s="230" t="str">
        <f t="shared" ca="1" si="52"/>
        <v>nincs</v>
      </c>
      <c r="AX323" s="230" t="str">
        <f t="shared" ca="1" si="53"/>
        <v>nincs</v>
      </c>
      <c r="AY323" s="230" t="str">
        <f t="shared" ca="1" si="54"/>
        <v>nincs</v>
      </c>
      <c r="AZ323" s="230" t="str">
        <f t="shared" ca="1" si="55"/>
        <v>nincs</v>
      </c>
      <c r="BA323" s="230" t="str">
        <f t="shared" ca="1" si="56"/>
        <v>nincs</v>
      </c>
      <c r="BB323" s="230" t="str">
        <f t="shared" ca="1" si="57"/>
        <v>nincs</v>
      </c>
      <c r="BC323" s="230" t="str">
        <f t="shared" ca="1" si="58"/>
        <v>nincs</v>
      </c>
      <c r="BD323" s="230" t="str">
        <f t="shared" ca="1" si="59"/>
        <v>nincs</v>
      </c>
      <c r="BE323" s="230" t="str">
        <f t="shared" ca="1" si="60"/>
        <v>nincs</v>
      </c>
      <c r="BG323" s="313" t="s">
        <v>84</v>
      </c>
      <c r="BH323" s="282" t="str">
        <f t="shared" ref="BH323:BH358" si="96">IF(BG323="nincs","nincs",ROUND(BG323/1.27,0))</f>
        <v>nincs</v>
      </c>
      <c r="BI323" s="313" t="s">
        <v>84</v>
      </c>
      <c r="BJ323" s="282" t="str">
        <f t="shared" ref="BJ323:BJ358" si="97">IF(BI323="nincs","nincs",ROUND(BI323/1.27,0))</f>
        <v>nincs</v>
      </c>
      <c r="BK323" s="313" t="s">
        <v>84</v>
      </c>
      <c r="BL323" s="282" t="str">
        <f t="shared" ref="BL323:BL358" si="98">IF(BK323="nincs","nincs",ROUND(BK323/1.27,0))</f>
        <v>nincs</v>
      </c>
      <c r="BM323" s="313" t="s">
        <v>84</v>
      </c>
      <c r="BN323" s="282" t="str">
        <f t="shared" si="69"/>
        <v>nincs</v>
      </c>
      <c r="BO323" s="313" t="s">
        <v>84</v>
      </c>
      <c r="BP323" s="282" t="str">
        <f t="shared" ref="BP323" si="99">IF(BO323="nincs","nincs",ROUND(BO323/1.27,0))</f>
        <v>nincs</v>
      </c>
      <c r="BQ323" s="313" t="s">
        <v>84</v>
      </c>
      <c r="BR323" s="282" t="str">
        <f t="shared" si="24"/>
        <v>nincs</v>
      </c>
      <c r="BS323" s="313" t="s">
        <v>84</v>
      </c>
      <c r="BT323" s="282" t="str">
        <f t="shared" si="25"/>
        <v>nincs</v>
      </c>
      <c r="BU323" s="313" t="s">
        <v>84</v>
      </c>
      <c r="BV323" s="282" t="str">
        <f t="shared" si="26"/>
        <v>nincs</v>
      </c>
      <c r="BW323" s="313" t="s">
        <v>84</v>
      </c>
      <c r="BX323" s="282" t="str">
        <f t="shared" si="27"/>
        <v>nincs</v>
      </c>
      <c r="BZ323" s="313" t="s">
        <v>84</v>
      </c>
      <c r="CA323" s="282" t="str">
        <f t="shared" si="87"/>
        <v>nincs</v>
      </c>
      <c r="CB323" s="313" t="s">
        <v>84</v>
      </c>
      <c r="CC323" s="282" t="str">
        <f t="shared" si="88"/>
        <v>nincs</v>
      </c>
      <c r="CD323" s="313" t="s">
        <v>84</v>
      </c>
      <c r="CE323" s="282" t="str">
        <f t="shared" si="89"/>
        <v>nincs</v>
      </c>
      <c r="CF323" s="313" t="s">
        <v>84</v>
      </c>
      <c r="CG323" s="282" t="str">
        <f t="shared" si="90"/>
        <v>nincs</v>
      </c>
      <c r="CH323" s="313" t="s">
        <v>84</v>
      </c>
      <c r="CI323" s="282" t="str">
        <f t="shared" si="91"/>
        <v>nincs</v>
      </c>
      <c r="CJ323" s="313" t="s">
        <v>84</v>
      </c>
      <c r="CK323" s="282" t="str">
        <f t="shared" si="92"/>
        <v>nincs</v>
      </c>
      <c r="CL323" s="313" t="s">
        <v>84</v>
      </c>
      <c r="CM323" s="282" t="str">
        <f t="shared" si="93"/>
        <v>nincs</v>
      </c>
      <c r="CN323" s="313" t="s">
        <v>84</v>
      </c>
      <c r="CO323" s="282" t="str">
        <f t="shared" si="94"/>
        <v>nincs</v>
      </c>
      <c r="CP323" s="313" t="s">
        <v>84</v>
      </c>
      <c r="CQ323" s="282" t="str">
        <f t="shared" si="95"/>
        <v>nincs</v>
      </c>
    </row>
    <row r="324" spans="1:95" s="56" customFormat="1" x14ac:dyDescent="0.3">
      <c r="A324" s="66">
        <v>37</v>
      </c>
      <c r="B324" s="71" t="s">
        <v>384</v>
      </c>
      <c r="C324" s="199" t="s">
        <v>84</v>
      </c>
      <c r="D324" s="199" t="s">
        <v>84</v>
      </c>
      <c r="E324" s="199" t="s">
        <v>84</v>
      </c>
      <c r="F324" s="199" t="s">
        <v>84</v>
      </c>
      <c r="G324" s="112">
        <f t="shared" si="37"/>
        <v>65600</v>
      </c>
      <c r="H324" s="255">
        <v>665600</v>
      </c>
      <c r="I324" s="255">
        <v>524100</v>
      </c>
      <c r="J324" s="255">
        <v>604900</v>
      </c>
      <c r="K324" s="280">
        <v>471100</v>
      </c>
      <c r="L324" s="280">
        <v>551800</v>
      </c>
      <c r="M324" s="280">
        <v>471100</v>
      </c>
      <c r="N324" s="280">
        <f t="shared" si="38"/>
        <v>551800</v>
      </c>
      <c r="O324" s="280">
        <v>615400</v>
      </c>
      <c r="P324" s="255">
        <v>537500</v>
      </c>
      <c r="Q324" s="255">
        <v>618200</v>
      </c>
      <c r="R324" s="255" t="s">
        <v>84</v>
      </c>
      <c r="S324" s="192" t="s">
        <v>89</v>
      </c>
      <c r="T324" s="194" t="s">
        <v>63</v>
      </c>
      <c r="U324" s="193">
        <v>4125</v>
      </c>
      <c r="V324" s="192">
        <v>1</v>
      </c>
      <c r="W324" s="217">
        <f t="shared" si="39"/>
        <v>154900</v>
      </c>
      <c r="X324" s="192">
        <v>3000</v>
      </c>
      <c r="Y324" s="192">
        <v>2500</v>
      </c>
      <c r="Z324" s="193" t="s">
        <v>91</v>
      </c>
      <c r="AA324" s="192">
        <v>100</v>
      </c>
      <c r="AB324" s="192">
        <v>125</v>
      </c>
      <c r="AC324" s="217">
        <f t="shared" si="41"/>
        <v>65000</v>
      </c>
      <c r="AD324" s="192">
        <v>0</v>
      </c>
      <c r="AE324" s="197" t="s">
        <v>84</v>
      </c>
      <c r="AF324" s="216">
        <f t="shared" si="84"/>
        <v>43100</v>
      </c>
      <c r="AG324" s="224">
        <f t="shared" ca="1" si="83"/>
        <v>471100</v>
      </c>
      <c r="AH324" s="224">
        <f t="shared" ca="1" si="85"/>
        <v>544466.52380952379</v>
      </c>
      <c r="AI324" s="216">
        <f t="shared" si="86"/>
        <v>130500</v>
      </c>
      <c r="AJ324" s="198">
        <v>5</v>
      </c>
      <c r="AK324" s="198" t="s">
        <v>244</v>
      </c>
      <c r="AL324" s="216">
        <f>$J$136</f>
        <v>154900</v>
      </c>
      <c r="AM324" s="216">
        <f>$J$139</f>
        <v>198000</v>
      </c>
      <c r="AN324" s="230">
        <f t="shared" ca="1" si="43"/>
        <v>545600</v>
      </c>
      <c r="AO324" s="230">
        <f t="shared" ca="1" si="44"/>
        <v>429606</v>
      </c>
      <c r="AP324" s="230">
        <f t="shared" ca="1" si="45"/>
        <v>595800</v>
      </c>
      <c r="AQ324" s="230">
        <f t="shared" ca="1" si="46"/>
        <v>469134</v>
      </c>
      <c r="AR324" s="230">
        <f t="shared" ca="1" si="47"/>
        <v>578000</v>
      </c>
      <c r="AS324" s="230">
        <f t="shared" ca="1" si="48"/>
        <v>455118</v>
      </c>
      <c r="AT324" s="230">
        <f t="shared" ca="1" si="49"/>
        <v>628100</v>
      </c>
      <c r="AU324" s="230">
        <f t="shared" ca="1" si="50"/>
        <v>494567</v>
      </c>
      <c r="AV324" s="230">
        <f t="shared" ca="1" si="51"/>
        <v>636500</v>
      </c>
      <c r="AW324" s="230">
        <f t="shared" ca="1" si="52"/>
        <v>501181</v>
      </c>
      <c r="AX324" s="230">
        <f t="shared" ca="1" si="53"/>
        <v>686700</v>
      </c>
      <c r="AY324" s="230">
        <f t="shared" ca="1" si="54"/>
        <v>540709</v>
      </c>
      <c r="AZ324" s="230">
        <f t="shared" ca="1" si="55"/>
        <v>572900</v>
      </c>
      <c r="BA324" s="230">
        <f t="shared" ca="1" si="56"/>
        <v>451102</v>
      </c>
      <c r="BB324" s="230">
        <f t="shared" ca="1" si="57"/>
        <v>605300</v>
      </c>
      <c r="BC324" s="230">
        <f t="shared" ca="1" si="58"/>
        <v>476614</v>
      </c>
      <c r="BD324" s="230">
        <f t="shared" ca="1" si="59"/>
        <v>663800</v>
      </c>
      <c r="BE324" s="230">
        <f t="shared" ca="1" si="60"/>
        <v>522677</v>
      </c>
      <c r="BG324" s="313">
        <v>519700</v>
      </c>
      <c r="BH324" s="282">
        <f t="shared" si="96"/>
        <v>409213</v>
      </c>
      <c r="BI324" s="313">
        <v>567400</v>
      </c>
      <c r="BJ324" s="282">
        <f t="shared" si="97"/>
        <v>446772</v>
      </c>
      <c r="BK324" s="313">
        <v>550500</v>
      </c>
      <c r="BL324" s="282">
        <f t="shared" si="98"/>
        <v>433465</v>
      </c>
      <c r="BM324" s="313">
        <v>598300</v>
      </c>
      <c r="BN324" s="282">
        <f t="shared" si="69"/>
        <v>471102</v>
      </c>
      <c r="BO324" s="313">
        <v>606300</v>
      </c>
      <c r="BP324" s="282">
        <f>IF(BO324="nincs","nincs",ROUND(BO324/1.27,0))</f>
        <v>477402</v>
      </c>
      <c r="BQ324" s="313">
        <v>654100</v>
      </c>
      <c r="BR324" s="282">
        <f t="shared" si="24"/>
        <v>515039</v>
      </c>
      <c r="BS324" s="313">
        <v>545600</v>
      </c>
      <c r="BT324" s="282">
        <f t="shared" si="25"/>
        <v>429606</v>
      </c>
      <c r="BU324" s="313">
        <v>576500</v>
      </c>
      <c r="BV324" s="282">
        <f t="shared" si="26"/>
        <v>453937</v>
      </c>
      <c r="BW324" s="313">
        <v>632200</v>
      </c>
      <c r="BX324" s="282">
        <f t="shared" si="27"/>
        <v>497795</v>
      </c>
      <c r="BZ324" s="313">
        <v>545600</v>
      </c>
      <c r="CA324" s="282">
        <f t="shared" si="87"/>
        <v>429606</v>
      </c>
      <c r="CB324" s="313">
        <v>595800</v>
      </c>
      <c r="CC324" s="282">
        <f t="shared" si="88"/>
        <v>469134</v>
      </c>
      <c r="CD324" s="313">
        <v>578000</v>
      </c>
      <c r="CE324" s="282">
        <f t="shared" si="89"/>
        <v>455118</v>
      </c>
      <c r="CF324" s="313">
        <v>628100</v>
      </c>
      <c r="CG324" s="282">
        <f t="shared" si="90"/>
        <v>494567</v>
      </c>
      <c r="CH324" s="313">
        <v>636500</v>
      </c>
      <c r="CI324" s="282">
        <f t="shared" si="91"/>
        <v>501181</v>
      </c>
      <c r="CJ324" s="313">
        <v>686700</v>
      </c>
      <c r="CK324" s="282">
        <f t="shared" si="92"/>
        <v>540709</v>
      </c>
      <c r="CL324" s="313">
        <v>572900</v>
      </c>
      <c r="CM324" s="282">
        <f t="shared" si="93"/>
        <v>451102</v>
      </c>
      <c r="CN324" s="313">
        <v>605300</v>
      </c>
      <c r="CO324" s="282">
        <f t="shared" si="94"/>
        <v>476614</v>
      </c>
      <c r="CP324" s="313">
        <v>663800</v>
      </c>
      <c r="CQ324" s="282">
        <f t="shared" si="95"/>
        <v>522677</v>
      </c>
    </row>
    <row r="325" spans="1:95" s="56" customFormat="1" x14ac:dyDescent="0.3">
      <c r="A325" s="68">
        <v>38</v>
      </c>
      <c r="B325" s="71" t="s">
        <v>469</v>
      </c>
      <c r="C325" s="199" t="s">
        <v>84</v>
      </c>
      <c r="D325" s="199" t="s">
        <v>84</v>
      </c>
      <c r="E325" s="199" t="s">
        <v>84</v>
      </c>
      <c r="F325" s="199" t="s">
        <v>84</v>
      </c>
      <c r="G325" s="112">
        <f t="shared" si="37"/>
        <v>65600</v>
      </c>
      <c r="H325" s="255">
        <v>908600</v>
      </c>
      <c r="I325" s="255">
        <v>639700</v>
      </c>
      <c r="J325" s="255">
        <v>736600</v>
      </c>
      <c r="K325" s="280">
        <v>573100</v>
      </c>
      <c r="L325" s="280">
        <v>670000</v>
      </c>
      <c r="M325" s="280">
        <v>573100</v>
      </c>
      <c r="N325" s="280">
        <f t="shared" si="38"/>
        <v>670000</v>
      </c>
      <c r="O325" s="280">
        <v>746900</v>
      </c>
      <c r="P325" s="255">
        <v>700700</v>
      </c>
      <c r="Q325" s="255">
        <v>797600</v>
      </c>
      <c r="R325" s="255" t="s">
        <v>84</v>
      </c>
      <c r="S325" s="192" t="s">
        <v>89</v>
      </c>
      <c r="T325" s="194" t="s">
        <v>63</v>
      </c>
      <c r="U325" s="193">
        <v>4125</v>
      </c>
      <c r="V325" s="192">
        <v>1</v>
      </c>
      <c r="W325" s="217">
        <f t="shared" si="39"/>
        <v>154900</v>
      </c>
      <c r="X325" s="192">
        <v>3000</v>
      </c>
      <c r="Y325" s="192">
        <v>3000</v>
      </c>
      <c r="Z325" s="193" t="s">
        <v>90</v>
      </c>
      <c r="AA325" s="193">
        <v>210</v>
      </c>
      <c r="AB325" s="193">
        <v>210</v>
      </c>
      <c r="AC325" s="217">
        <f t="shared" si="41"/>
        <v>65000</v>
      </c>
      <c r="AD325" s="192">
        <v>0</v>
      </c>
      <c r="AE325" s="197" t="s">
        <v>84</v>
      </c>
      <c r="AF325" s="216">
        <f t="shared" si="84"/>
        <v>43100</v>
      </c>
      <c r="AG325" s="281">
        <f ca="1">($K$223+$K$224)</f>
        <v>450300</v>
      </c>
      <c r="AH325" s="224">
        <f t="shared" ca="1" si="85"/>
        <v>523666.52380952379</v>
      </c>
      <c r="AI325" s="216">
        <f t="shared" si="86"/>
        <v>130500</v>
      </c>
      <c r="AJ325" s="198">
        <v>5</v>
      </c>
      <c r="AK325" s="198" t="s">
        <v>244</v>
      </c>
      <c r="AL325" s="216">
        <f>$J$136</f>
        <v>154900</v>
      </c>
      <c r="AM325" s="216">
        <f>$J$139</f>
        <v>198000</v>
      </c>
      <c r="AN325" s="230" t="str">
        <f t="shared" ca="1" si="43"/>
        <v>nincs</v>
      </c>
      <c r="AO325" s="230" t="str">
        <f t="shared" ca="1" si="44"/>
        <v>nincs</v>
      </c>
      <c r="AP325" s="230" t="str">
        <f t="shared" ca="1" si="45"/>
        <v>nincs</v>
      </c>
      <c r="AQ325" s="230" t="str">
        <f t="shared" ca="1" si="46"/>
        <v>nincs</v>
      </c>
      <c r="AR325" s="230" t="str">
        <f t="shared" ca="1" si="47"/>
        <v>nincs</v>
      </c>
      <c r="AS325" s="230" t="str">
        <f t="shared" ca="1" si="48"/>
        <v>nincs</v>
      </c>
      <c r="AT325" s="230" t="str">
        <f t="shared" ca="1" si="49"/>
        <v>nincs</v>
      </c>
      <c r="AU325" s="230" t="str">
        <f t="shared" ca="1" si="50"/>
        <v>nincs</v>
      </c>
      <c r="AV325" s="230">
        <f t="shared" ca="1" si="51"/>
        <v>718400</v>
      </c>
      <c r="AW325" s="230">
        <f t="shared" ca="1" si="52"/>
        <v>565669</v>
      </c>
      <c r="AX325" s="230">
        <f t="shared" ca="1" si="53"/>
        <v>782100</v>
      </c>
      <c r="AY325" s="230">
        <f t="shared" ca="1" si="54"/>
        <v>615827</v>
      </c>
      <c r="AZ325" s="230" t="str">
        <f t="shared" ca="1" si="55"/>
        <v>nincs</v>
      </c>
      <c r="BA325" s="230" t="str">
        <f t="shared" ca="1" si="56"/>
        <v>nincs</v>
      </c>
      <c r="BB325" s="230" t="str">
        <f t="shared" ca="1" si="57"/>
        <v>nincs</v>
      </c>
      <c r="BC325" s="230" t="str">
        <f t="shared" ca="1" si="58"/>
        <v>nincs</v>
      </c>
      <c r="BD325" s="230">
        <f t="shared" ca="1" si="59"/>
        <v>745700</v>
      </c>
      <c r="BE325" s="230">
        <f t="shared" ca="1" si="60"/>
        <v>587165</v>
      </c>
      <c r="BG325" s="313" t="s">
        <v>84</v>
      </c>
      <c r="BH325" s="282" t="str">
        <f t="shared" si="96"/>
        <v>nincs</v>
      </c>
      <c r="BI325" s="313" t="s">
        <v>84</v>
      </c>
      <c r="BJ325" s="282" t="str">
        <f t="shared" si="97"/>
        <v>nincs</v>
      </c>
      <c r="BK325" s="313" t="s">
        <v>84</v>
      </c>
      <c r="BL325" s="282" t="str">
        <f t="shared" si="98"/>
        <v>nincs</v>
      </c>
      <c r="BM325" s="313" t="s">
        <v>84</v>
      </c>
      <c r="BN325" s="282" t="str">
        <f t="shared" si="69"/>
        <v>nincs</v>
      </c>
      <c r="BO325" s="313">
        <v>684400</v>
      </c>
      <c r="BP325" s="282">
        <f t="shared" ref="BP325:BP329" si="100">IF(BO325="nincs","nincs",ROUND(BO325/1.27,0))</f>
        <v>538898</v>
      </c>
      <c r="BQ325" s="313">
        <v>745000</v>
      </c>
      <c r="BR325" s="282">
        <f t="shared" si="24"/>
        <v>586614</v>
      </c>
      <c r="BS325" s="313" t="s">
        <v>84</v>
      </c>
      <c r="BT325" s="282" t="str">
        <f t="shared" si="25"/>
        <v>nincs</v>
      </c>
      <c r="BU325" s="313" t="s">
        <v>84</v>
      </c>
      <c r="BV325" s="282" t="str">
        <f t="shared" si="26"/>
        <v>nincs</v>
      </c>
      <c r="BW325" s="313">
        <v>710000</v>
      </c>
      <c r="BX325" s="282">
        <f t="shared" si="27"/>
        <v>559055</v>
      </c>
      <c r="BZ325" s="313" t="s">
        <v>84</v>
      </c>
      <c r="CA325" s="282" t="str">
        <f t="shared" si="87"/>
        <v>nincs</v>
      </c>
      <c r="CB325" s="313" t="s">
        <v>84</v>
      </c>
      <c r="CC325" s="282" t="str">
        <f t="shared" si="88"/>
        <v>nincs</v>
      </c>
      <c r="CD325" s="313" t="s">
        <v>84</v>
      </c>
      <c r="CE325" s="282" t="str">
        <f t="shared" si="89"/>
        <v>nincs</v>
      </c>
      <c r="CF325" s="313" t="s">
        <v>84</v>
      </c>
      <c r="CG325" s="282" t="str">
        <f t="shared" si="90"/>
        <v>nincs</v>
      </c>
      <c r="CH325" s="313">
        <v>718400</v>
      </c>
      <c r="CI325" s="282">
        <f t="shared" si="91"/>
        <v>565669</v>
      </c>
      <c r="CJ325" s="313">
        <v>782100</v>
      </c>
      <c r="CK325" s="282">
        <f t="shared" si="92"/>
        <v>615827</v>
      </c>
      <c r="CL325" s="313" t="s">
        <v>84</v>
      </c>
      <c r="CM325" s="282" t="str">
        <f t="shared" si="93"/>
        <v>nincs</v>
      </c>
      <c r="CN325" s="313" t="s">
        <v>84</v>
      </c>
      <c r="CO325" s="282" t="str">
        <f t="shared" si="94"/>
        <v>nincs</v>
      </c>
      <c r="CP325" s="313">
        <v>745700</v>
      </c>
      <c r="CQ325" s="282">
        <f t="shared" si="95"/>
        <v>587165</v>
      </c>
    </row>
    <row r="326" spans="1:95" s="56" customFormat="1" x14ac:dyDescent="0.3">
      <c r="A326" s="66">
        <v>39</v>
      </c>
      <c r="B326" s="71" t="s">
        <v>23</v>
      </c>
      <c r="C326" s="199" t="s">
        <v>84</v>
      </c>
      <c r="D326" s="199" t="s">
        <v>84</v>
      </c>
      <c r="E326" s="199" t="s">
        <v>84</v>
      </c>
      <c r="F326" s="199" t="s">
        <v>84</v>
      </c>
      <c r="G326" s="112">
        <f>$E$257</f>
        <v>77100</v>
      </c>
      <c r="H326" s="255">
        <v>695300</v>
      </c>
      <c r="I326" s="255">
        <v>491800</v>
      </c>
      <c r="J326" s="255">
        <v>561800</v>
      </c>
      <c r="K326" s="280">
        <v>440600</v>
      </c>
      <c r="L326" s="280">
        <v>510500</v>
      </c>
      <c r="M326" s="280">
        <v>440600</v>
      </c>
      <c r="N326" s="280">
        <f t="shared" si="38"/>
        <v>510500</v>
      </c>
      <c r="O326" s="280">
        <v>593100</v>
      </c>
      <c r="P326" s="255">
        <v>515900</v>
      </c>
      <c r="Q326" s="255">
        <v>585900</v>
      </c>
      <c r="R326" s="255" t="s">
        <v>84</v>
      </c>
      <c r="S326" s="192" t="s">
        <v>89</v>
      </c>
      <c r="T326" s="193" t="s">
        <v>61</v>
      </c>
      <c r="U326" s="192">
        <v>3200</v>
      </c>
      <c r="V326" s="192">
        <v>1</v>
      </c>
      <c r="W326" s="217">
        <f t="shared" si="39"/>
        <v>123200</v>
      </c>
      <c r="X326" s="192">
        <v>3250</v>
      </c>
      <c r="Y326" s="192">
        <v>2000</v>
      </c>
      <c r="Z326" s="193" t="s">
        <v>91</v>
      </c>
      <c r="AA326" s="192">
        <v>100</v>
      </c>
      <c r="AB326" s="192">
        <v>125</v>
      </c>
      <c r="AC326" s="255">
        <f>60000*1.3</f>
        <v>78000</v>
      </c>
      <c r="AD326" s="192">
        <v>0</v>
      </c>
      <c r="AE326" s="197" t="s">
        <v>84</v>
      </c>
      <c r="AF326" s="216">
        <f t="shared" si="84"/>
        <v>43100</v>
      </c>
      <c r="AG326" s="224">
        <f t="shared" ref="AG326:AG337" ca="1" si="101">($K$222+$K$223+$K$224)</f>
        <v>471100</v>
      </c>
      <c r="AH326" s="224">
        <f t="shared" ca="1" si="85"/>
        <v>544466.52380952379</v>
      </c>
      <c r="AI326" s="216">
        <f t="shared" si="86"/>
        <v>130500</v>
      </c>
      <c r="AJ326" s="198">
        <v>5</v>
      </c>
      <c r="AK326" s="198" t="s">
        <v>244</v>
      </c>
      <c r="AL326" s="216">
        <f t="shared" ref="AL326:AL342" si="102">$J$134</f>
        <v>123200</v>
      </c>
      <c r="AM326" s="216">
        <f t="shared" ref="AM326:AM349" si="103">$J$137</f>
        <v>166300</v>
      </c>
      <c r="AN326" s="230" t="str">
        <f t="shared" ca="1" si="43"/>
        <v>nincs</v>
      </c>
      <c r="AO326" s="230" t="str">
        <f t="shared" ca="1" si="44"/>
        <v>nincs</v>
      </c>
      <c r="AP326" s="230" t="str">
        <f t="shared" ca="1" si="45"/>
        <v>nincs</v>
      </c>
      <c r="AQ326" s="230" t="str">
        <f t="shared" ca="1" si="46"/>
        <v>nincs</v>
      </c>
      <c r="AR326" s="230" t="str">
        <f t="shared" ca="1" si="47"/>
        <v>nincs</v>
      </c>
      <c r="AS326" s="230" t="str">
        <f t="shared" ca="1" si="48"/>
        <v>nincs</v>
      </c>
      <c r="AT326" s="230" t="str">
        <f t="shared" ca="1" si="49"/>
        <v>nincs</v>
      </c>
      <c r="AU326" s="230" t="str">
        <f t="shared" ca="1" si="50"/>
        <v>nincs</v>
      </c>
      <c r="AV326" s="230" t="str">
        <f t="shared" ca="1" si="51"/>
        <v>nincs</v>
      </c>
      <c r="AW326" s="230" t="str">
        <f t="shared" ca="1" si="52"/>
        <v>nincs</v>
      </c>
      <c r="AX326" s="230" t="str">
        <f t="shared" ca="1" si="53"/>
        <v>nincs</v>
      </c>
      <c r="AY326" s="230" t="str">
        <f t="shared" ca="1" si="54"/>
        <v>nincs</v>
      </c>
      <c r="AZ326" s="230" t="str">
        <f t="shared" ca="1" si="55"/>
        <v>nincs</v>
      </c>
      <c r="BA326" s="230" t="str">
        <f t="shared" ca="1" si="56"/>
        <v>nincs</v>
      </c>
      <c r="BB326" s="230" t="str">
        <f t="shared" ca="1" si="57"/>
        <v>nincs</v>
      </c>
      <c r="BC326" s="230" t="str">
        <f t="shared" ca="1" si="58"/>
        <v>nincs</v>
      </c>
      <c r="BD326" s="230" t="str">
        <f t="shared" ca="1" si="59"/>
        <v>nincs</v>
      </c>
      <c r="BE326" s="230" t="str">
        <f t="shared" ca="1" si="60"/>
        <v>nincs</v>
      </c>
      <c r="BG326" s="313" t="s">
        <v>84</v>
      </c>
      <c r="BH326" s="282" t="str">
        <f t="shared" si="96"/>
        <v>nincs</v>
      </c>
      <c r="BI326" s="313" t="s">
        <v>84</v>
      </c>
      <c r="BJ326" s="282" t="str">
        <f t="shared" si="97"/>
        <v>nincs</v>
      </c>
      <c r="BK326" s="313" t="s">
        <v>84</v>
      </c>
      <c r="BL326" s="282" t="str">
        <f t="shared" si="98"/>
        <v>nincs</v>
      </c>
      <c r="BM326" s="313" t="s">
        <v>84</v>
      </c>
      <c r="BN326" s="282" t="str">
        <f t="shared" si="69"/>
        <v>nincs</v>
      </c>
      <c r="BO326" s="313" t="s">
        <v>84</v>
      </c>
      <c r="BP326" s="282" t="str">
        <f t="shared" si="100"/>
        <v>nincs</v>
      </c>
      <c r="BQ326" s="313" t="s">
        <v>84</v>
      </c>
      <c r="BR326" s="282" t="str">
        <f t="shared" si="24"/>
        <v>nincs</v>
      </c>
      <c r="BS326" s="313" t="s">
        <v>84</v>
      </c>
      <c r="BT326" s="282" t="str">
        <f t="shared" si="25"/>
        <v>nincs</v>
      </c>
      <c r="BU326" s="313" t="s">
        <v>84</v>
      </c>
      <c r="BV326" s="282" t="str">
        <f t="shared" si="26"/>
        <v>nincs</v>
      </c>
      <c r="BW326" s="313" t="s">
        <v>84</v>
      </c>
      <c r="BX326" s="282" t="str">
        <f t="shared" si="27"/>
        <v>nincs</v>
      </c>
      <c r="BZ326" s="313" t="s">
        <v>84</v>
      </c>
      <c r="CA326" s="282" t="str">
        <f t="shared" si="87"/>
        <v>nincs</v>
      </c>
      <c r="CB326" s="313" t="s">
        <v>84</v>
      </c>
      <c r="CC326" s="282" t="str">
        <f t="shared" si="88"/>
        <v>nincs</v>
      </c>
      <c r="CD326" s="313" t="s">
        <v>84</v>
      </c>
      <c r="CE326" s="282" t="str">
        <f t="shared" si="89"/>
        <v>nincs</v>
      </c>
      <c r="CF326" s="313" t="s">
        <v>84</v>
      </c>
      <c r="CG326" s="282" t="str">
        <f t="shared" si="90"/>
        <v>nincs</v>
      </c>
      <c r="CH326" s="313" t="s">
        <v>84</v>
      </c>
      <c r="CI326" s="282" t="str">
        <f t="shared" si="91"/>
        <v>nincs</v>
      </c>
      <c r="CJ326" s="313" t="s">
        <v>84</v>
      </c>
      <c r="CK326" s="282" t="str">
        <f t="shared" si="92"/>
        <v>nincs</v>
      </c>
      <c r="CL326" s="313" t="s">
        <v>84</v>
      </c>
      <c r="CM326" s="282" t="str">
        <f t="shared" si="93"/>
        <v>nincs</v>
      </c>
      <c r="CN326" s="313" t="s">
        <v>84</v>
      </c>
      <c r="CO326" s="282" t="str">
        <f t="shared" si="94"/>
        <v>nincs</v>
      </c>
      <c r="CP326" s="313" t="s">
        <v>84</v>
      </c>
      <c r="CQ326" s="282" t="str">
        <f t="shared" si="95"/>
        <v>nincs</v>
      </c>
    </row>
    <row r="327" spans="1:95" s="56" customFormat="1" x14ac:dyDescent="0.3">
      <c r="A327" s="68">
        <v>40</v>
      </c>
      <c r="B327" s="71" t="s">
        <v>24</v>
      </c>
      <c r="C327" s="199" t="s">
        <v>84</v>
      </c>
      <c r="D327" s="199" t="s">
        <v>84</v>
      </c>
      <c r="E327" s="199" t="s">
        <v>84</v>
      </c>
      <c r="F327" s="199" t="s">
        <v>84</v>
      </c>
      <c r="G327" s="112">
        <f t="shared" ref="G327:G357" si="104">$E$257</f>
        <v>77100</v>
      </c>
      <c r="H327" s="255">
        <v>705800</v>
      </c>
      <c r="I327" s="255">
        <v>505200</v>
      </c>
      <c r="J327" s="255">
        <v>579500</v>
      </c>
      <c r="K327" s="280">
        <v>453100</v>
      </c>
      <c r="L327" s="280">
        <v>527500</v>
      </c>
      <c r="M327" s="280">
        <v>453100</v>
      </c>
      <c r="N327" s="280">
        <f t="shared" si="38"/>
        <v>527500</v>
      </c>
      <c r="O327" s="280">
        <v>610200</v>
      </c>
      <c r="P327" s="255">
        <v>529500</v>
      </c>
      <c r="Q327" s="255">
        <v>603800</v>
      </c>
      <c r="R327" s="255" t="s">
        <v>84</v>
      </c>
      <c r="S327" s="192" t="s">
        <v>89</v>
      </c>
      <c r="T327" s="193" t="s">
        <v>61</v>
      </c>
      <c r="U327" s="192">
        <v>3200</v>
      </c>
      <c r="V327" s="192">
        <v>1</v>
      </c>
      <c r="W327" s="217">
        <f t="shared" si="39"/>
        <v>123200</v>
      </c>
      <c r="X327" s="192">
        <v>3250</v>
      </c>
      <c r="Y327" s="192">
        <v>2125</v>
      </c>
      <c r="Z327" s="193" t="s">
        <v>91</v>
      </c>
      <c r="AA327" s="192">
        <v>100</v>
      </c>
      <c r="AB327" s="192">
        <v>125</v>
      </c>
      <c r="AC327" s="217">
        <f t="shared" si="41"/>
        <v>78000</v>
      </c>
      <c r="AD327" s="192">
        <v>0</v>
      </c>
      <c r="AE327" s="197" t="s">
        <v>84</v>
      </c>
      <c r="AF327" s="216">
        <f t="shared" si="84"/>
        <v>43100</v>
      </c>
      <c r="AG327" s="224">
        <f t="shared" ca="1" si="101"/>
        <v>471100</v>
      </c>
      <c r="AH327" s="224">
        <f t="shared" ca="1" si="85"/>
        <v>544466.52380952379</v>
      </c>
      <c r="AI327" s="216">
        <f t="shared" si="86"/>
        <v>130500</v>
      </c>
      <c r="AJ327" s="198">
        <v>5</v>
      </c>
      <c r="AK327" s="198" t="s">
        <v>244</v>
      </c>
      <c r="AL327" s="216">
        <f t="shared" si="102"/>
        <v>123200</v>
      </c>
      <c r="AM327" s="216">
        <f t="shared" si="103"/>
        <v>166300</v>
      </c>
      <c r="AN327" s="230" t="str">
        <f t="shared" ca="1" si="43"/>
        <v>nincs</v>
      </c>
      <c r="AO327" s="230" t="str">
        <f t="shared" ca="1" si="44"/>
        <v>nincs</v>
      </c>
      <c r="AP327" s="230" t="str">
        <f t="shared" ca="1" si="45"/>
        <v>nincs</v>
      </c>
      <c r="AQ327" s="230" t="str">
        <f t="shared" ca="1" si="46"/>
        <v>nincs</v>
      </c>
      <c r="AR327" s="230" t="str">
        <f t="shared" ca="1" si="47"/>
        <v>nincs</v>
      </c>
      <c r="AS327" s="230" t="str">
        <f t="shared" ca="1" si="48"/>
        <v>nincs</v>
      </c>
      <c r="AT327" s="230" t="str">
        <f t="shared" ca="1" si="49"/>
        <v>nincs</v>
      </c>
      <c r="AU327" s="230" t="str">
        <f t="shared" ca="1" si="50"/>
        <v>nincs</v>
      </c>
      <c r="AV327" s="230" t="str">
        <f t="shared" ca="1" si="51"/>
        <v>nincs</v>
      </c>
      <c r="AW327" s="230" t="str">
        <f t="shared" ca="1" si="52"/>
        <v>nincs</v>
      </c>
      <c r="AX327" s="230" t="str">
        <f t="shared" ca="1" si="53"/>
        <v>nincs</v>
      </c>
      <c r="AY327" s="230" t="str">
        <f t="shared" ca="1" si="54"/>
        <v>nincs</v>
      </c>
      <c r="AZ327" s="230" t="str">
        <f t="shared" ca="1" si="55"/>
        <v>nincs</v>
      </c>
      <c r="BA327" s="230" t="str">
        <f t="shared" ca="1" si="56"/>
        <v>nincs</v>
      </c>
      <c r="BB327" s="230" t="str">
        <f t="shared" ca="1" si="57"/>
        <v>nincs</v>
      </c>
      <c r="BC327" s="230" t="str">
        <f t="shared" ca="1" si="58"/>
        <v>nincs</v>
      </c>
      <c r="BD327" s="230" t="str">
        <f t="shared" ca="1" si="59"/>
        <v>nincs</v>
      </c>
      <c r="BE327" s="230" t="str">
        <f t="shared" ca="1" si="60"/>
        <v>nincs</v>
      </c>
      <c r="BG327" s="313" t="s">
        <v>84</v>
      </c>
      <c r="BH327" s="282" t="str">
        <f t="shared" si="96"/>
        <v>nincs</v>
      </c>
      <c r="BI327" s="313" t="s">
        <v>84</v>
      </c>
      <c r="BJ327" s="282" t="str">
        <f t="shared" si="97"/>
        <v>nincs</v>
      </c>
      <c r="BK327" s="313" t="s">
        <v>84</v>
      </c>
      <c r="BL327" s="282" t="str">
        <f t="shared" si="98"/>
        <v>nincs</v>
      </c>
      <c r="BM327" s="313" t="s">
        <v>84</v>
      </c>
      <c r="BN327" s="282" t="str">
        <f t="shared" si="69"/>
        <v>nincs</v>
      </c>
      <c r="BO327" s="313" t="s">
        <v>84</v>
      </c>
      <c r="BP327" s="282" t="str">
        <f t="shared" si="100"/>
        <v>nincs</v>
      </c>
      <c r="BQ327" s="313" t="s">
        <v>84</v>
      </c>
      <c r="BR327" s="282" t="str">
        <f t="shared" si="24"/>
        <v>nincs</v>
      </c>
      <c r="BS327" s="313" t="s">
        <v>84</v>
      </c>
      <c r="BT327" s="282" t="str">
        <f t="shared" si="25"/>
        <v>nincs</v>
      </c>
      <c r="BU327" s="313" t="s">
        <v>84</v>
      </c>
      <c r="BV327" s="282" t="str">
        <f t="shared" si="26"/>
        <v>nincs</v>
      </c>
      <c r="BW327" s="313" t="s">
        <v>84</v>
      </c>
      <c r="BX327" s="282" t="str">
        <f t="shared" si="27"/>
        <v>nincs</v>
      </c>
      <c r="BZ327" s="313" t="s">
        <v>84</v>
      </c>
      <c r="CA327" s="282" t="str">
        <f t="shared" si="87"/>
        <v>nincs</v>
      </c>
      <c r="CB327" s="313" t="s">
        <v>84</v>
      </c>
      <c r="CC327" s="282" t="str">
        <f t="shared" si="88"/>
        <v>nincs</v>
      </c>
      <c r="CD327" s="313" t="s">
        <v>84</v>
      </c>
      <c r="CE327" s="282" t="str">
        <f t="shared" si="89"/>
        <v>nincs</v>
      </c>
      <c r="CF327" s="313" t="s">
        <v>84</v>
      </c>
      <c r="CG327" s="282" t="str">
        <f t="shared" si="90"/>
        <v>nincs</v>
      </c>
      <c r="CH327" s="313" t="s">
        <v>84</v>
      </c>
      <c r="CI327" s="282" t="str">
        <f t="shared" si="91"/>
        <v>nincs</v>
      </c>
      <c r="CJ327" s="313" t="s">
        <v>84</v>
      </c>
      <c r="CK327" s="282" t="str">
        <f t="shared" si="92"/>
        <v>nincs</v>
      </c>
      <c r="CL327" s="313" t="s">
        <v>84</v>
      </c>
      <c r="CM327" s="282" t="str">
        <f t="shared" si="93"/>
        <v>nincs</v>
      </c>
      <c r="CN327" s="313" t="s">
        <v>84</v>
      </c>
      <c r="CO327" s="282" t="str">
        <f t="shared" si="94"/>
        <v>nincs</v>
      </c>
      <c r="CP327" s="313" t="s">
        <v>84</v>
      </c>
      <c r="CQ327" s="282" t="str">
        <f t="shared" si="95"/>
        <v>nincs</v>
      </c>
    </row>
    <row r="328" spans="1:95" s="56" customFormat="1" x14ac:dyDescent="0.3">
      <c r="A328" s="66">
        <v>41</v>
      </c>
      <c r="B328" s="71" t="s">
        <v>25</v>
      </c>
      <c r="C328" s="199" t="s">
        <v>84</v>
      </c>
      <c r="D328" s="199" t="s">
        <v>84</v>
      </c>
      <c r="E328" s="199" t="s">
        <v>84</v>
      </c>
      <c r="F328" s="199" t="s">
        <v>84</v>
      </c>
      <c r="G328" s="112">
        <f t="shared" si="104"/>
        <v>77100</v>
      </c>
      <c r="H328" s="255">
        <v>718700</v>
      </c>
      <c r="I328" s="255">
        <v>515700</v>
      </c>
      <c r="J328" s="255">
        <v>594400</v>
      </c>
      <c r="K328" s="280">
        <v>462900</v>
      </c>
      <c r="L328" s="280">
        <v>541600</v>
      </c>
      <c r="M328" s="280">
        <v>462900</v>
      </c>
      <c r="N328" s="280">
        <f t="shared" si="38"/>
        <v>541600</v>
      </c>
      <c r="O328" s="280">
        <v>626700</v>
      </c>
      <c r="P328" s="255">
        <v>546700</v>
      </c>
      <c r="Q328" s="255">
        <v>625400</v>
      </c>
      <c r="R328" s="255" t="s">
        <v>84</v>
      </c>
      <c r="S328" s="192" t="s">
        <v>89</v>
      </c>
      <c r="T328" s="193" t="s">
        <v>61</v>
      </c>
      <c r="U328" s="192">
        <v>3200</v>
      </c>
      <c r="V328" s="192">
        <v>1</v>
      </c>
      <c r="W328" s="217">
        <f t="shared" si="39"/>
        <v>123200</v>
      </c>
      <c r="X328" s="192">
        <v>3250</v>
      </c>
      <c r="Y328" s="192">
        <v>2250</v>
      </c>
      <c r="Z328" s="193" t="s">
        <v>91</v>
      </c>
      <c r="AA328" s="192">
        <v>100</v>
      </c>
      <c r="AB328" s="192">
        <v>125</v>
      </c>
      <c r="AC328" s="217">
        <f t="shared" si="41"/>
        <v>78000</v>
      </c>
      <c r="AD328" s="192">
        <v>0</v>
      </c>
      <c r="AE328" s="197" t="s">
        <v>84</v>
      </c>
      <c r="AF328" s="216">
        <f t="shared" si="84"/>
        <v>43100</v>
      </c>
      <c r="AG328" s="224">
        <f t="shared" ca="1" si="101"/>
        <v>471100</v>
      </c>
      <c r="AH328" s="224">
        <f t="shared" ca="1" si="85"/>
        <v>544466.52380952379</v>
      </c>
      <c r="AI328" s="216">
        <f t="shared" si="86"/>
        <v>130500</v>
      </c>
      <c r="AJ328" s="198">
        <v>5</v>
      </c>
      <c r="AK328" s="198" t="s">
        <v>244</v>
      </c>
      <c r="AL328" s="216">
        <f t="shared" si="102"/>
        <v>123200</v>
      </c>
      <c r="AM328" s="216">
        <f t="shared" si="103"/>
        <v>166300</v>
      </c>
      <c r="AN328" s="230" t="str">
        <f t="shared" ca="1" si="43"/>
        <v>nincs</v>
      </c>
      <c r="AO328" s="230" t="str">
        <f t="shared" ca="1" si="44"/>
        <v>nincs</v>
      </c>
      <c r="AP328" s="230" t="str">
        <f t="shared" ca="1" si="45"/>
        <v>nincs</v>
      </c>
      <c r="AQ328" s="230" t="str">
        <f t="shared" ca="1" si="46"/>
        <v>nincs</v>
      </c>
      <c r="AR328" s="230" t="str">
        <f t="shared" ca="1" si="47"/>
        <v>nincs</v>
      </c>
      <c r="AS328" s="230" t="str">
        <f t="shared" ca="1" si="48"/>
        <v>nincs</v>
      </c>
      <c r="AT328" s="230" t="str">
        <f t="shared" ca="1" si="49"/>
        <v>nincs</v>
      </c>
      <c r="AU328" s="230" t="str">
        <f t="shared" ca="1" si="50"/>
        <v>nincs</v>
      </c>
      <c r="AV328" s="230" t="str">
        <f t="shared" ca="1" si="51"/>
        <v>nincs</v>
      </c>
      <c r="AW328" s="230" t="str">
        <f t="shared" ca="1" si="52"/>
        <v>nincs</v>
      </c>
      <c r="AX328" s="230" t="str">
        <f t="shared" ca="1" si="53"/>
        <v>nincs</v>
      </c>
      <c r="AY328" s="230" t="str">
        <f t="shared" ca="1" si="54"/>
        <v>nincs</v>
      </c>
      <c r="AZ328" s="230" t="str">
        <f t="shared" ca="1" si="55"/>
        <v>nincs</v>
      </c>
      <c r="BA328" s="230" t="str">
        <f t="shared" ca="1" si="56"/>
        <v>nincs</v>
      </c>
      <c r="BB328" s="230" t="str">
        <f t="shared" ca="1" si="57"/>
        <v>nincs</v>
      </c>
      <c r="BC328" s="230" t="str">
        <f t="shared" ca="1" si="58"/>
        <v>nincs</v>
      </c>
      <c r="BD328" s="230" t="str">
        <f t="shared" ca="1" si="59"/>
        <v>nincs</v>
      </c>
      <c r="BE328" s="230" t="str">
        <f t="shared" ca="1" si="60"/>
        <v>nincs</v>
      </c>
      <c r="BG328" s="313" t="s">
        <v>84</v>
      </c>
      <c r="BH328" s="282" t="str">
        <f t="shared" si="96"/>
        <v>nincs</v>
      </c>
      <c r="BI328" s="313" t="s">
        <v>84</v>
      </c>
      <c r="BJ328" s="282" t="str">
        <f t="shared" si="97"/>
        <v>nincs</v>
      </c>
      <c r="BK328" s="313" t="s">
        <v>84</v>
      </c>
      <c r="BL328" s="282" t="str">
        <f t="shared" si="98"/>
        <v>nincs</v>
      </c>
      <c r="BM328" s="313" t="s">
        <v>84</v>
      </c>
      <c r="BN328" s="282" t="str">
        <f t="shared" si="69"/>
        <v>nincs</v>
      </c>
      <c r="BO328" s="313" t="s">
        <v>84</v>
      </c>
      <c r="BP328" s="282" t="str">
        <f t="shared" si="100"/>
        <v>nincs</v>
      </c>
      <c r="BQ328" s="313" t="s">
        <v>84</v>
      </c>
      <c r="BR328" s="282" t="str">
        <f t="shared" si="24"/>
        <v>nincs</v>
      </c>
      <c r="BS328" s="313" t="s">
        <v>84</v>
      </c>
      <c r="BT328" s="282" t="str">
        <f t="shared" si="25"/>
        <v>nincs</v>
      </c>
      <c r="BU328" s="313" t="s">
        <v>84</v>
      </c>
      <c r="BV328" s="282" t="str">
        <f t="shared" si="26"/>
        <v>nincs</v>
      </c>
      <c r="BW328" s="313" t="s">
        <v>84</v>
      </c>
      <c r="BX328" s="282" t="str">
        <f t="shared" si="27"/>
        <v>nincs</v>
      </c>
      <c r="BZ328" s="313" t="s">
        <v>84</v>
      </c>
      <c r="CA328" s="282" t="str">
        <f t="shared" si="87"/>
        <v>nincs</v>
      </c>
      <c r="CB328" s="313" t="s">
        <v>84</v>
      </c>
      <c r="CC328" s="282" t="str">
        <f t="shared" si="88"/>
        <v>nincs</v>
      </c>
      <c r="CD328" s="313" t="s">
        <v>84</v>
      </c>
      <c r="CE328" s="282" t="str">
        <f t="shared" si="89"/>
        <v>nincs</v>
      </c>
      <c r="CF328" s="313" t="s">
        <v>84</v>
      </c>
      <c r="CG328" s="282" t="str">
        <f t="shared" si="90"/>
        <v>nincs</v>
      </c>
      <c r="CH328" s="313" t="s">
        <v>84</v>
      </c>
      <c r="CI328" s="282" t="str">
        <f t="shared" si="91"/>
        <v>nincs</v>
      </c>
      <c r="CJ328" s="313" t="s">
        <v>84</v>
      </c>
      <c r="CK328" s="282" t="str">
        <f t="shared" si="92"/>
        <v>nincs</v>
      </c>
      <c r="CL328" s="313" t="s">
        <v>84</v>
      </c>
      <c r="CM328" s="282" t="str">
        <f t="shared" si="93"/>
        <v>nincs</v>
      </c>
      <c r="CN328" s="313" t="s">
        <v>84</v>
      </c>
      <c r="CO328" s="282" t="str">
        <f t="shared" si="94"/>
        <v>nincs</v>
      </c>
      <c r="CP328" s="313" t="s">
        <v>84</v>
      </c>
      <c r="CQ328" s="282" t="str">
        <f t="shared" si="95"/>
        <v>nincs</v>
      </c>
    </row>
    <row r="329" spans="1:95" s="56" customFormat="1" x14ac:dyDescent="0.3">
      <c r="A329" s="68">
        <v>42</v>
      </c>
      <c r="B329" s="71" t="s">
        <v>26</v>
      </c>
      <c r="C329" s="199" t="s">
        <v>84</v>
      </c>
      <c r="D329" s="199" t="s">
        <v>84</v>
      </c>
      <c r="E329" s="199" t="s">
        <v>84</v>
      </c>
      <c r="F329" s="199" t="s">
        <v>84</v>
      </c>
      <c r="G329" s="112">
        <f t="shared" si="104"/>
        <v>77100</v>
      </c>
      <c r="H329" s="255">
        <v>712000</v>
      </c>
      <c r="I329" s="255">
        <v>526400</v>
      </c>
      <c r="J329" s="255">
        <v>601800</v>
      </c>
      <c r="K329" s="280">
        <v>471800</v>
      </c>
      <c r="L329" s="280">
        <v>547200</v>
      </c>
      <c r="M329" s="280">
        <v>471800</v>
      </c>
      <c r="N329" s="280">
        <f t="shared" si="38"/>
        <v>547200</v>
      </c>
      <c r="O329" s="280">
        <v>632000</v>
      </c>
      <c r="P329" s="255">
        <v>562600</v>
      </c>
      <c r="Q329" s="255">
        <v>637900</v>
      </c>
      <c r="R329" s="255" t="s">
        <v>84</v>
      </c>
      <c r="S329" s="192" t="s">
        <v>89</v>
      </c>
      <c r="T329" s="193" t="s">
        <v>61</v>
      </c>
      <c r="U329" s="192">
        <v>3200</v>
      </c>
      <c r="V329" s="192">
        <v>1</v>
      </c>
      <c r="W329" s="217">
        <f t="shared" si="39"/>
        <v>123200</v>
      </c>
      <c r="X329" s="192">
        <v>3500</v>
      </c>
      <c r="Y329" s="192">
        <v>2000</v>
      </c>
      <c r="Z329" s="193" t="s">
        <v>91</v>
      </c>
      <c r="AA329" s="192">
        <v>100</v>
      </c>
      <c r="AB329" s="192">
        <v>125</v>
      </c>
      <c r="AC329" s="217">
        <f t="shared" si="41"/>
        <v>78000</v>
      </c>
      <c r="AD329" s="192">
        <v>0</v>
      </c>
      <c r="AE329" s="197" t="s">
        <v>84</v>
      </c>
      <c r="AF329" s="216">
        <f t="shared" si="84"/>
        <v>43100</v>
      </c>
      <c r="AG329" s="224">
        <f t="shared" ca="1" si="101"/>
        <v>471100</v>
      </c>
      <c r="AH329" s="224">
        <f t="shared" ca="1" si="85"/>
        <v>544466.52380952379</v>
      </c>
      <c r="AI329" s="216">
        <f t="shared" si="86"/>
        <v>130500</v>
      </c>
      <c r="AJ329" s="198">
        <v>5</v>
      </c>
      <c r="AK329" s="198" t="s">
        <v>244</v>
      </c>
      <c r="AL329" s="216">
        <f t="shared" si="102"/>
        <v>123200</v>
      </c>
      <c r="AM329" s="216">
        <f t="shared" si="103"/>
        <v>166300</v>
      </c>
      <c r="AN329" s="230" t="str">
        <f t="shared" ca="1" si="43"/>
        <v>nincs</v>
      </c>
      <c r="AO329" s="230" t="str">
        <f t="shared" ca="1" si="44"/>
        <v>nincs</v>
      </c>
      <c r="AP329" s="230" t="str">
        <f t="shared" ca="1" si="45"/>
        <v>nincs</v>
      </c>
      <c r="AQ329" s="230" t="str">
        <f t="shared" ca="1" si="46"/>
        <v>nincs</v>
      </c>
      <c r="AR329" s="230" t="str">
        <f t="shared" ca="1" si="47"/>
        <v>nincs</v>
      </c>
      <c r="AS329" s="230" t="str">
        <f t="shared" ca="1" si="48"/>
        <v>nincs</v>
      </c>
      <c r="AT329" s="230" t="str">
        <f t="shared" ca="1" si="49"/>
        <v>nincs</v>
      </c>
      <c r="AU329" s="230" t="str">
        <f t="shared" ca="1" si="50"/>
        <v>nincs</v>
      </c>
      <c r="AV329" s="230" t="str">
        <f t="shared" ca="1" si="51"/>
        <v>nincs</v>
      </c>
      <c r="AW329" s="230" t="str">
        <f t="shared" ca="1" si="52"/>
        <v>nincs</v>
      </c>
      <c r="AX329" s="230" t="str">
        <f t="shared" ca="1" si="53"/>
        <v>nincs</v>
      </c>
      <c r="AY329" s="230" t="str">
        <f t="shared" ca="1" si="54"/>
        <v>nincs</v>
      </c>
      <c r="AZ329" s="230" t="str">
        <f t="shared" ca="1" si="55"/>
        <v>nincs</v>
      </c>
      <c r="BA329" s="230" t="str">
        <f t="shared" ca="1" si="56"/>
        <v>nincs</v>
      </c>
      <c r="BB329" s="230" t="str">
        <f t="shared" ca="1" si="57"/>
        <v>nincs</v>
      </c>
      <c r="BC329" s="230" t="str">
        <f t="shared" ca="1" si="58"/>
        <v>nincs</v>
      </c>
      <c r="BD329" s="230" t="str">
        <f t="shared" ca="1" si="59"/>
        <v>nincs</v>
      </c>
      <c r="BE329" s="230" t="str">
        <f t="shared" ca="1" si="60"/>
        <v>nincs</v>
      </c>
      <c r="BG329" s="313" t="s">
        <v>84</v>
      </c>
      <c r="BH329" s="282" t="str">
        <f t="shared" si="96"/>
        <v>nincs</v>
      </c>
      <c r="BI329" s="313" t="s">
        <v>84</v>
      </c>
      <c r="BJ329" s="282" t="str">
        <f t="shared" si="97"/>
        <v>nincs</v>
      </c>
      <c r="BK329" s="313" t="s">
        <v>84</v>
      </c>
      <c r="BL329" s="282" t="str">
        <f t="shared" si="98"/>
        <v>nincs</v>
      </c>
      <c r="BM329" s="313" t="s">
        <v>84</v>
      </c>
      <c r="BN329" s="282" t="str">
        <f t="shared" si="69"/>
        <v>nincs</v>
      </c>
      <c r="BO329" s="313" t="s">
        <v>84</v>
      </c>
      <c r="BP329" s="282" t="str">
        <f t="shared" si="100"/>
        <v>nincs</v>
      </c>
      <c r="BQ329" s="313" t="s">
        <v>84</v>
      </c>
      <c r="BR329" s="282" t="str">
        <f t="shared" si="24"/>
        <v>nincs</v>
      </c>
      <c r="BS329" s="313" t="s">
        <v>84</v>
      </c>
      <c r="BT329" s="282" t="str">
        <f t="shared" si="25"/>
        <v>nincs</v>
      </c>
      <c r="BU329" s="313" t="s">
        <v>84</v>
      </c>
      <c r="BV329" s="282" t="str">
        <f t="shared" si="26"/>
        <v>nincs</v>
      </c>
      <c r="BW329" s="313" t="s">
        <v>84</v>
      </c>
      <c r="BX329" s="282" t="str">
        <f t="shared" si="27"/>
        <v>nincs</v>
      </c>
      <c r="BZ329" s="313" t="s">
        <v>84</v>
      </c>
      <c r="CA329" s="282" t="str">
        <f t="shared" si="87"/>
        <v>nincs</v>
      </c>
      <c r="CB329" s="313" t="s">
        <v>84</v>
      </c>
      <c r="CC329" s="282" t="str">
        <f t="shared" si="88"/>
        <v>nincs</v>
      </c>
      <c r="CD329" s="313" t="s">
        <v>84</v>
      </c>
      <c r="CE329" s="282" t="str">
        <f t="shared" si="89"/>
        <v>nincs</v>
      </c>
      <c r="CF329" s="313" t="s">
        <v>84</v>
      </c>
      <c r="CG329" s="282" t="str">
        <f t="shared" si="90"/>
        <v>nincs</v>
      </c>
      <c r="CH329" s="313" t="s">
        <v>84</v>
      </c>
      <c r="CI329" s="282" t="str">
        <f t="shared" si="91"/>
        <v>nincs</v>
      </c>
      <c r="CJ329" s="313" t="s">
        <v>84</v>
      </c>
      <c r="CK329" s="282" t="str">
        <f t="shared" si="92"/>
        <v>nincs</v>
      </c>
      <c r="CL329" s="313" t="s">
        <v>84</v>
      </c>
      <c r="CM329" s="282" t="str">
        <f t="shared" si="93"/>
        <v>nincs</v>
      </c>
      <c r="CN329" s="313" t="s">
        <v>84</v>
      </c>
      <c r="CO329" s="282" t="str">
        <f t="shared" si="94"/>
        <v>nincs</v>
      </c>
      <c r="CP329" s="313" t="s">
        <v>84</v>
      </c>
      <c r="CQ329" s="282" t="str">
        <f t="shared" si="95"/>
        <v>nincs</v>
      </c>
    </row>
    <row r="330" spans="1:95" s="56" customFormat="1" x14ac:dyDescent="0.3">
      <c r="A330" s="66">
        <v>43</v>
      </c>
      <c r="B330" s="71" t="s">
        <v>450</v>
      </c>
      <c r="C330" s="199" t="s">
        <v>84</v>
      </c>
      <c r="D330" s="199" t="s">
        <v>84</v>
      </c>
      <c r="E330" s="199" t="s">
        <v>84</v>
      </c>
      <c r="F330" s="199" t="s">
        <v>84</v>
      </c>
      <c r="G330" s="112">
        <f t="shared" si="104"/>
        <v>77100</v>
      </c>
      <c r="H330" s="255">
        <v>725600</v>
      </c>
      <c r="I330" s="255">
        <v>539500</v>
      </c>
      <c r="J330" s="255">
        <v>619500</v>
      </c>
      <c r="K330" s="280">
        <v>483400</v>
      </c>
      <c r="L330" s="280">
        <v>563300</v>
      </c>
      <c r="M330" s="280">
        <v>483400</v>
      </c>
      <c r="N330" s="280">
        <f t="shared" si="38"/>
        <v>563300</v>
      </c>
      <c r="O330" s="280">
        <v>648900</v>
      </c>
      <c r="P330" s="255">
        <v>577200</v>
      </c>
      <c r="Q330" s="255">
        <v>657200</v>
      </c>
      <c r="R330" s="255" t="s">
        <v>84</v>
      </c>
      <c r="S330" s="192" t="s">
        <v>89</v>
      </c>
      <c r="T330" s="193" t="s">
        <v>61</v>
      </c>
      <c r="U330" s="192">
        <v>3200</v>
      </c>
      <c r="V330" s="192">
        <v>1</v>
      </c>
      <c r="W330" s="217">
        <f t="shared" si="39"/>
        <v>123200</v>
      </c>
      <c r="X330" s="192">
        <v>3500</v>
      </c>
      <c r="Y330" s="192">
        <v>2125</v>
      </c>
      <c r="Z330" s="193" t="s">
        <v>91</v>
      </c>
      <c r="AA330" s="192">
        <v>100</v>
      </c>
      <c r="AB330" s="192">
        <v>125</v>
      </c>
      <c r="AC330" s="217">
        <f t="shared" si="41"/>
        <v>78000</v>
      </c>
      <c r="AD330" s="192">
        <v>0</v>
      </c>
      <c r="AE330" s="197" t="s">
        <v>84</v>
      </c>
      <c r="AF330" s="216">
        <f t="shared" si="84"/>
        <v>43100</v>
      </c>
      <c r="AG330" s="224">
        <f t="shared" ca="1" si="101"/>
        <v>471100</v>
      </c>
      <c r="AH330" s="224">
        <f t="shared" ca="1" si="85"/>
        <v>544466.52380952379</v>
      </c>
      <c r="AI330" s="216">
        <f t="shared" si="86"/>
        <v>130500</v>
      </c>
      <c r="AJ330" s="198">
        <v>5</v>
      </c>
      <c r="AK330" s="198" t="s">
        <v>244</v>
      </c>
      <c r="AL330" s="216">
        <f t="shared" si="102"/>
        <v>123200</v>
      </c>
      <c r="AM330" s="216">
        <f t="shared" si="103"/>
        <v>166300</v>
      </c>
      <c r="AN330" s="230">
        <f t="shared" ca="1" si="43"/>
        <v>511200</v>
      </c>
      <c r="AO330" s="230">
        <f t="shared" ca="1" si="44"/>
        <v>402520</v>
      </c>
      <c r="AP330" s="230">
        <f t="shared" ca="1" si="45"/>
        <v>565800</v>
      </c>
      <c r="AQ330" s="230">
        <f t="shared" ca="1" si="46"/>
        <v>445512</v>
      </c>
      <c r="AR330" s="230">
        <f t="shared" ca="1" si="47"/>
        <v>543600</v>
      </c>
      <c r="AS330" s="230">
        <f t="shared" ca="1" si="48"/>
        <v>428031</v>
      </c>
      <c r="AT330" s="230">
        <f t="shared" ca="1" si="49"/>
        <v>598200</v>
      </c>
      <c r="AU330" s="230">
        <f t="shared" ca="1" si="50"/>
        <v>471024</v>
      </c>
      <c r="AV330" s="230">
        <f t="shared" ca="1" si="51"/>
        <v>602100</v>
      </c>
      <c r="AW330" s="230">
        <f t="shared" ca="1" si="52"/>
        <v>474094</v>
      </c>
      <c r="AX330" s="230">
        <f t="shared" ca="1" si="53"/>
        <v>656700</v>
      </c>
      <c r="AY330" s="230">
        <f t="shared" ca="1" si="54"/>
        <v>517087</v>
      </c>
      <c r="AZ330" s="230">
        <f t="shared" ca="1" si="55"/>
        <v>538500</v>
      </c>
      <c r="BA330" s="230">
        <f t="shared" ca="1" si="56"/>
        <v>424016</v>
      </c>
      <c r="BB330" s="230">
        <f t="shared" ca="1" si="57"/>
        <v>570900</v>
      </c>
      <c r="BC330" s="230">
        <f t="shared" ca="1" si="58"/>
        <v>449528</v>
      </c>
      <c r="BD330" s="230">
        <f t="shared" ca="1" si="59"/>
        <v>629400</v>
      </c>
      <c r="BE330" s="230">
        <f t="shared" ca="1" si="60"/>
        <v>495591</v>
      </c>
      <c r="BG330" s="313">
        <v>487000</v>
      </c>
      <c r="BH330" s="282">
        <f t="shared" si="96"/>
        <v>383465</v>
      </c>
      <c r="BI330" s="313">
        <v>539000</v>
      </c>
      <c r="BJ330" s="282">
        <f t="shared" si="97"/>
        <v>424409</v>
      </c>
      <c r="BK330" s="313">
        <v>517900</v>
      </c>
      <c r="BL330" s="282">
        <f t="shared" si="98"/>
        <v>407795</v>
      </c>
      <c r="BM330" s="313">
        <v>569800</v>
      </c>
      <c r="BN330" s="282">
        <f t="shared" si="69"/>
        <v>448661</v>
      </c>
      <c r="BO330" s="313">
        <v>573700</v>
      </c>
      <c r="BP330" s="282">
        <f>IF(BO330="nincs","nincs",ROUND(BO330/1.27,0))</f>
        <v>451732</v>
      </c>
      <c r="BQ330" s="313">
        <v>625600</v>
      </c>
      <c r="BR330" s="282">
        <f t="shared" si="24"/>
        <v>492598</v>
      </c>
      <c r="BS330" s="313">
        <v>513100</v>
      </c>
      <c r="BT330" s="282">
        <f t="shared" si="25"/>
        <v>404016</v>
      </c>
      <c r="BU330" s="313">
        <v>543900</v>
      </c>
      <c r="BV330" s="282">
        <f t="shared" si="26"/>
        <v>428268</v>
      </c>
      <c r="BW330" s="313">
        <v>599700</v>
      </c>
      <c r="BX330" s="282">
        <f t="shared" si="27"/>
        <v>472205</v>
      </c>
      <c r="BZ330" s="313">
        <v>511200</v>
      </c>
      <c r="CA330" s="282">
        <f t="shared" si="87"/>
        <v>402520</v>
      </c>
      <c r="CB330" s="313">
        <v>565800</v>
      </c>
      <c r="CC330" s="282">
        <f t="shared" si="88"/>
        <v>445512</v>
      </c>
      <c r="CD330" s="313">
        <v>543600</v>
      </c>
      <c r="CE330" s="282">
        <f t="shared" si="89"/>
        <v>428031</v>
      </c>
      <c r="CF330" s="313">
        <v>598200</v>
      </c>
      <c r="CG330" s="282">
        <f t="shared" si="90"/>
        <v>471024</v>
      </c>
      <c r="CH330" s="313">
        <v>602100</v>
      </c>
      <c r="CI330" s="282">
        <f t="shared" si="91"/>
        <v>474094</v>
      </c>
      <c r="CJ330" s="313">
        <v>656700</v>
      </c>
      <c r="CK330" s="282">
        <f t="shared" si="92"/>
        <v>517087</v>
      </c>
      <c r="CL330" s="313">
        <v>538500</v>
      </c>
      <c r="CM330" s="282">
        <f t="shared" si="93"/>
        <v>424016</v>
      </c>
      <c r="CN330" s="313">
        <v>570900</v>
      </c>
      <c r="CO330" s="282">
        <f t="shared" si="94"/>
        <v>449528</v>
      </c>
      <c r="CP330" s="313">
        <v>629400</v>
      </c>
      <c r="CQ330" s="282">
        <f t="shared" si="95"/>
        <v>495591</v>
      </c>
    </row>
    <row r="331" spans="1:95" s="56" customFormat="1" x14ac:dyDescent="0.3">
      <c r="A331" s="68">
        <v>44</v>
      </c>
      <c r="B331" s="71" t="s">
        <v>451</v>
      </c>
      <c r="C331" s="199" t="s">
        <v>84</v>
      </c>
      <c r="D331" s="199" t="s">
        <v>84</v>
      </c>
      <c r="E331" s="199" t="s">
        <v>84</v>
      </c>
      <c r="F331" s="199" t="s">
        <v>84</v>
      </c>
      <c r="G331" s="112">
        <f t="shared" si="104"/>
        <v>77100</v>
      </c>
      <c r="H331" s="255">
        <v>736300</v>
      </c>
      <c r="I331" s="255">
        <v>550300</v>
      </c>
      <c r="J331" s="255">
        <v>635100</v>
      </c>
      <c r="K331" s="280">
        <v>493600</v>
      </c>
      <c r="L331" s="280">
        <v>578500</v>
      </c>
      <c r="M331" s="280">
        <v>493600</v>
      </c>
      <c r="N331" s="280">
        <f t="shared" si="38"/>
        <v>578500</v>
      </c>
      <c r="O331" s="280">
        <v>668200</v>
      </c>
      <c r="P331" s="255">
        <v>595400</v>
      </c>
      <c r="Q331" s="255">
        <v>680200</v>
      </c>
      <c r="R331" s="255" t="s">
        <v>84</v>
      </c>
      <c r="S331" s="192" t="s">
        <v>89</v>
      </c>
      <c r="T331" s="193" t="s">
        <v>61</v>
      </c>
      <c r="U331" s="192">
        <v>3200</v>
      </c>
      <c r="V331" s="192">
        <v>1</v>
      </c>
      <c r="W331" s="217">
        <f>AL331</f>
        <v>123200</v>
      </c>
      <c r="X331" s="192">
        <v>3500</v>
      </c>
      <c r="Y331" s="192">
        <v>2250</v>
      </c>
      <c r="Z331" s="193" t="s">
        <v>91</v>
      </c>
      <c r="AA331" s="192">
        <v>100</v>
      </c>
      <c r="AB331" s="192">
        <v>125</v>
      </c>
      <c r="AC331" s="217">
        <f t="shared" si="41"/>
        <v>78000</v>
      </c>
      <c r="AD331" s="192">
        <v>0</v>
      </c>
      <c r="AE331" s="197" t="s">
        <v>84</v>
      </c>
      <c r="AF331" s="216">
        <f t="shared" si="84"/>
        <v>43100</v>
      </c>
      <c r="AG331" s="224">
        <f t="shared" ca="1" si="101"/>
        <v>471100</v>
      </c>
      <c r="AH331" s="224">
        <f t="shared" ca="1" si="85"/>
        <v>544466.52380952379</v>
      </c>
      <c r="AI331" s="216">
        <f t="shared" si="86"/>
        <v>130500</v>
      </c>
      <c r="AJ331" s="198">
        <v>5</v>
      </c>
      <c r="AK331" s="198" t="s">
        <v>244</v>
      </c>
      <c r="AL331" s="216">
        <f t="shared" si="102"/>
        <v>123200</v>
      </c>
      <c r="AM331" s="216">
        <f t="shared" si="103"/>
        <v>166300</v>
      </c>
      <c r="AN331" s="230">
        <f t="shared" ca="1" si="43"/>
        <v>531900</v>
      </c>
      <c r="AO331" s="230">
        <f t="shared" ca="1" si="44"/>
        <v>418819</v>
      </c>
      <c r="AP331" s="230">
        <f t="shared" ca="1" si="45"/>
        <v>586700</v>
      </c>
      <c r="AQ331" s="230">
        <f t="shared" ca="1" si="46"/>
        <v>461969</v>
      </c>
      <c r="AR331" s="230">
        <f t="shared" ca="1" si="47"/>
        <v>564300</v>
      </c>
      <c r="AS331" s="230">
        <f t="shared" ca="1" si="48"/>
        <v>444331</v>
      </c>
      <c r="AT331" s="230">
        <f t="shared" ca="1" si="49"/>
        <v>619100</v>
      </c>
      <c r="AU331" s="230">
        <f t="shared" ca="1" si="50"/>
        <v>487480</v>
      </c>
      <c r="AV331" s="230">
        <f t="shared" ca="1" si="51"/>
        <v>622800</v>
      </c>
      <c r="AW331" s="230">
        <f t="shared" ca="1" si="52"/>
        <v>490394</v>
      </c>
      <c r="AX331" s="230">
        <f t="shared" ca="1" si="53"/>
        <v>677700</v>
      </c>
      <c r="AY331" s="230">
        <f t="shared" ca="1" si="54"/>
        <v>533622</v>
      </c>
      <c r="AZ331" s="230">
        <f t="shared" ca="1" si="55"/>
        <v>559200</v>
      </c>
      <c r="BA331" s="230">
        <f t="shared" ca="1" si="56"/>
        <v>440315</v>
      </c>
      <c r="BB331" s="230">
        <f t="shared" ca="1" si="57"/>
        <v>591600</v>
      </c>
      <c r="BC331" s="230">
        <f t="shared" ca="1" si="58"/>
        <v>465827</v>
      </c>
      <c r="BD331" s="230">
        <f t="shared" ca="1" si="59"/>
        <v>650100</v>
      </c>
      <c r="BE331" s="230">
        <f t="shared" ca="1" si="60"/>
        <v>511890</v>
      </c>
      <c r="BG331" s="313">
        <v>506600</v>
      </c>
      <c r="BH331" s="282">
        <f t="shared" si="96"/>
        <v>398898</v>
      </c>
      <c r="BI331" s="313">
        <v>558900</v>
      </c>
      <c r="BJ331" s="282">
        <f t="shared" si="97"/>
        <v>440079</v>
      </c>
      <c r="BK331" s="313">
        <v>537500</v>
      </c>
      <c r="BL331" s="282">
        <f t="shared" si="98"/>
        <v>423228</v>
      </c>
      <c r="BM331" s="313">
        <v>589800</v>
      </c>
      <c r="BN331" s="282">
        <f t="shared" si="69"/>
        <v>464409</v>
      </c>
      <c r="BO331" s="313">
        <v>593200</v>
      </c>
      <c r="BP331" s="282">
        <f>IF(BO331="nincs","nincs",ROUND(BO331/1.27,0))</f>
        <v>467087</v>
      </c>
      <c r="BQ331" s="313">
        <v>645500</v>
      </c>
      <c r="BR331" s="282">
        <f t="shared" si="24"/>
        <v>508268</v>
      </c>
      <c r="BS331" s="313">
        <v>532600</v>
      </c>
      <c r="BT331" s="282">
        <f t="shared" si="25"/>
        <v>419370</v>
      </c>
      <c r="BU331" s="313">
        <v>563500</v>
      </c>
      <c r="BV331" s="282">
        <f t="shared" si="26"/>
        <v>443701</v>
      </c>
      <c r="BW331" s="313">
        <v>619300</v>
      </c>
      <c r="BX331" s="282">
        <f t="shared" si="27"/>
        <v>487638</v>
      </c>
      <c r="BZ331" s="313">
        <v>531900</v>
      </c>
      <c r="CA331" s="282">
        <f t="shared" si="87"/>
        <v>418819</v>
      </c>
      <c r="CB331" s="313">
        <v>586700</v>
      </c>
      <c r="CC331" s="282">
        <f t="shared" si="88"/>
        <v>461969</v>
      </c>
      <c r="CD331" s="313">
        <v>564300</v>
      </c>
      <c r="CE331" s="282">
        <f t="shared" si="89"/>
        <v>444331</v>
      </c>
      <c r="CF331" s="313">
        <v>619100</v>
      </c>
      <c r="CG331" s="282">
        <f t="shared" si="90"/>
        <v>487480</v>
      </c>
      <c r="CH331" s="313">
        <v>622800</v>
      </c>
      <c r="CI331" s="282">
        <f t="shared" si="91"/>
        <v>490394</v>
      </c>
      <c r="CJ331" s="313">
        <v>677700</v>
      </c>
      <c r="CK331" s="282">
        <f t="shared" si="92"/>
        <v>533622</v>
      </c>
      <c r="CL331" s="313">
        <v>559200</v>
      </c>
      <c r="CM331" s="282">
        <f t="shared" si="93"/>
        <v>440315</v>
      </c>
      <c r="CN331" s="313">
        <v>591600</v>
      </c>
      <c r="CO331" s="282">
        <f t="shared" si="94"/>
        <v>465827</v>
      </c>
      <c r="CP331" s="313">
        <v>650100</v>
      </c>
      <c r="CQ331" s="282">
        <f t="shared" si="95"/>
        <v>511890</v>
      </c>
    </row>
    <row r="332" spans="1:95" s="56" customFormat="1" x14ac:dyDescent="0.3">
      <c r="A332" s="66">
        <v>45</v>
      </c>
      <c r="B332" s="71" t="s">
        <v>27</v>
      </c>
      <c r="C332" s="199" t="s">
        <v>84</v>
      </c>
      <c r="D332" s="199" t="s">
        <v>84</v>
      </c>
      <c r="E332" s="199" t="s">
        <v>84</v>
      </c>
      <c r="F332" s="199" t="s">
        <v>84</v>
      </c>
      <c r="G332" s="112">
        <f t="shared" si="104"/>
        <v>77100</v>
      </c>
      <c r="H332" s="255">
        <v>724800</v>
      </c>
      <c r="I332" s="255">
        <v>558000</v>
      </c>
      <c r="J332" s="255">
        <v>638700</v>
      </c>
      <c r="K332" s="280">
        <v>498800</v>
      </c>
      <c r="L332" s="280">
        <v>579500</v>
      </c>
      <c r="M332" s="280">
        <v>498800</v>
      </c>
      <c r="N332" s="280">
        <f t="shared" si="38"/>
        <v>579500</v>
      </c>
      <c r="O332" s="280">
        <v>647200</v>
      </c>
      <c r="P332" s="255">
        <v>608200</v>
      </c>
      <c r="Q332" s="255">
        <v>688900</v>
      </c>
      <c r="R332" s="255" t="s">
        <v>84</v>
      </c>
      <c r="S332" s="192" t="s">
        <v>89</v>
      </c>
      <c r="T332" s="193" t="s">
        <v>61</v>
      </c>
      <c r="U332" s="192">
        <v>3200</v>
      </c>
      <c r="V332" s="192">
        <v>1</v>
      </c>
      <c r="W332" s="217">
        <f t="shared" si="39"/>
        <v>123200</v>
      </c>
      <c r="X332" s="192">
        <v>3750</v>
      </c>
      <c r="Y332" s="192">
        <v>2000</v>
      </c>
      <c r="Z332" s="193" t="s">
        <v>91</v>
      </c>
      <c r="AA332" s="192">
        <v>100</v>
      </c>
      <c r="AB332" s="192">
        <v>125</v>
      </c>
      <c r="AC332" s="217">
        <f t="shared" si="41"/>
        <v>78000</v>
      </c>
      <c r="AD332" s="192">
        <v>0</v>
      </c>
      <c r="AE332" s="197" t="s">
        <v>84</v>
      </c>
      <c r="AF332" s="216">
        <f t="shared" si="84"/>
        <v>43100</v>
      </c>
      <c r="AG332" s="224">
        <f t="shared" ca="1" si="101"/>
        <v>471100</v>
      </c>
      <c r="AH332" s="224">
        <f t="shared" ca="1" si="85"/>
        <v>544466.52380952379</v>
      </c>
      <c r="AI332" s="216">
        <f t="shared" si="86"/>
        <v>156600</v>
      </c>
      <c r="AJ332" s="198">
        <v>6</v>
      </c>
      <c r="AK332" s="198" t="s">
        <v>244</v>
      </c>
      <c r="AL332" s="216">
        <f t="shared" si="102"/>
        <v>123200</v>
      </c>
      <c r="AM332" s="216">
        <f t="shared" si="103"/>
        <v>166300</v>
      </c>
      <c r="AN332" s="230" t="str">
        <f t="shared" ca="1" si="43"/>
        <v>nincs</v>
      </c>
      <c r="AO332" s="230" t="str">
        <f t="shared" ca="1" si="44"/>
        <v>nincs</v>
      </c>
      <c r="AP332" s="230" t="str">
        <f t="shared" ca="1" si="45"/>
        <v>nincs</v>
      </c>
      <c r="AQ332" s="230" t="str">
        <f t="shared" ca="1" si="46"/>
        <v>nincs</v>
      </c>
      <c r="AR332" s="230" t="str">
        <f t="shared" ca="1" si="47"/>
        <v>nincs</v>
      </c>
      <c r="AS332" s="230" t="str">
        <f t="shared" ca="1" si="48"/>
        <v>nincs</v>
      </c>
      <c r="AT332" s="230" t="str">
        <f t="shared" ca="1" si="49"/>
        <v>nincs</v>
      </c>
      <c r="AU332" s="230" t="str">
        <f t="shared" ca="1" si="50"/>
        <v>nincs</v>
      </c>
      <c r="AV332" s="230" t="str">
        <f t="shared" ca="1" si="51"/>
        <v>nincs</v>
      </c>
      <c r="AW332" s="230" t="str">
        <f t="shared" ca="1" si="52"/>
        <v>nincs</v>
      </c>
      <c r="AX332" s="230" t="str">
        <f t="shared" ca="1" si="53"/>
        <v>nincs</v>
      </c>
      <c r="AY332" s="230" t="str">
        <f t="shared" ca="1" si="54"/>
        <v>nincs</v>
      </c>
      <c r="AZ332" s="230" t="str">
        <f t="shared" ca="1" si="55"/>
        <v>nincs</v>
      </c>
      <c r="BA332" s="230" t="str">
        <f t="shared" ca="1" si="56"/>
        <v>nincs</v>
      </c>
      <c r="BB332" s="230" t="str">
        <f t="shared" ca="1" si="57"/>
        <v>nincs</v>
      </c>
      <c r="BC332" s="230" t="str">
        <f t="shared" ca="1" si="58"/>
        <v>nincs</v>
      </c>
      <c r="BD332" s="230" t="str">
        <f t="shared" ca="1" si="59"/>
        <v>nincs</v>
      </c>
      <c r="BE332" s="230" t="str">
        <f t="shared" ca="1" si="60"/>
        <v>nincs</v>
      </c>
      <c r="BG332" s="313" t="s">
        <v>84</v>
      </c>
      <c r="BH332" s="282" t="str">
        <f t="shared" si="96"/>
        <v>nincs</v>
      </c>
      <c r="BI332" s="313" t="s">
        <v>84</v>
      </c>
      <c r="BJ332" s="282" t="str">
        <f t="shared" si="97"/>
        <v>nincs</v>
      </c>
      <c r="BK332" s="313" t="s">
        <v>84</v>
      </c>
      <c r="BL332" s="282" t="str">
        <f t="shared" si="98"/>
        <v>nincs</v>
      </c>
      <c r="BM332" s="313" t="s">
        <v>84</v>
      </c>
      <c r="BN332" s="282" t="str">
        <f t="shared" si="69"/>
        <v>nincs</v>
      </c>
      <c r="BO332" s="313" t="s">
        <v>84</v>
      </c>
      <c r="BP332" s="282" t="str">
        <f t="shared" ref="BP332:BP335" si="105">IF(BO332="nincs","nincs",ROUND(BO332/1.27,0))</f>
        <v>nincs</v>
      </c>
      <c r="BQ332" s="313" t="s">
        <v>84</v>
      </c>
      <c r="BR332" s="282" t="str">
        <f t="shared" si="24"/>
        <v>nincs</v>
      </c>
      <c r="BS332" s="313" t="s">
        <v>84</v>
      </c>
      <c r="BT332" s="282" t="str">
        <f t="shared" si="25"/>
        <v>nincs</v>
      </c>
      <c r="BU332" s="313" t="s">
        <v>84</v>
      </c>
      <c r="BV332" s="282" t="str">
        <f t="shared" si="26"/>
        <v>nincs</v>
      </c>
      <c r="BW332" s="313" t="s">
        <v>84</v>
      </c>
      <c r="BX332" s="282" t="str">
        <f t="shared" si="27"/>
        <v>nincs</v>
      </c>
      <c r="BZ332" s="313" t="s">
        <v>84</v>
      </c>
      <c r="CA332" s="282" t="str">
        <f t="shared" si="87"/>
        <v>nincs</v>
      </c>
      <c r="CB332" s="313" t="s">
        <v>84</v>
      </c>
      <c r="CC332" s="282" t="str">
        <f t="shared" si="88"/>
        <v>nincs</v>
      </c>
      <c r="CD332" s="313" t="s">
        <v>84</v>
      </c>
      <c r="CE332" s="282" t="str">
        <f t="shared" si="89"/>
        <v>nincs</v>
      </c>
      <c r="CF332" s="313" t="s">
        <v>84</v>
      </c>
      <c r="CG332" s="282" t="str">
        <f t="shared" si="90"/>
        <v>nincs</v>
      </c>
      <c r="CH332" s="313" t="s">
        <v>84</v>
      </c>
      <c r="CI332" s="282" t="str">
        <f t="shared" si="91"/>
        <v>nincs</v>
      </c>
      <c r="CJ332" s="313" t="s">
        <v>84</v>
      </c>
      <c r="CK332" s="282" t="str">
        <f t="shared" si="92"/>
        <v>nincs</v>
      </c>
      <c r="CL332" s="313" t="s">
        <v>84</v>
      </c>
      <c r="CM332" s="282" t="str">
        <f t="shared" si="93"/>
        <v>nincs</v>
      </c>
      <c r="CN332" s="313" t="s">
        <v>84</v>
      </c>
      <c r="CO332" s="282" t="str">
        <f t="shared" si="94"/>
        <v>nincs</v>
      </c>
      <c r="CP332" s="313" t="s">
        <v>84</v>
      </c>
      <c r="CQ332" s="282" t="str">
        <f t="shared" si="95"/>
        <v>nincs</v>
      </c>
    </row>
    <row r="333" spans="1:95" s="56" customFormat="1" x14ac:dyDescent="0.3">
      <c r="A333" s="68">
        <v>46</v>
      </c>
      <c r="B333" s="71" t="s">
        <v>28</v>
      </c>
      <c r="C333" s="199" t="s">
        <v>84</v>
      </c>
      <c r="D333" s="199" t="s">
        <v>84</v>
      </c>
      <c r="E333" s="199" t="s">
        <v>84</v>
      </c>
      <c r="F333" s="199" t="s">
        <v>84</v>
      </c>
      <c r="G333" s="112">
        <f t="shared" si="104"/>
        <v>77100</v>
      </c>
      <c r="H333" s="255">
        <v>729900</v>
      </c>
      <c r="I333" s="255">
        <v>573300</v>
      </c>
      <c r="J333" s="255">
        <v>659200</v>
      </c>
      <c r="K333" s="280">
        <v>513400</v>
      </c>
      <c r="L333" s="280">
        <v>599200</v>
      </c>
      <c r="M333" s="280">
        <v>513400</v>
      </c>
      <c r="N333" s="280">
        <f t="shared" si="38"/>
        <v>599200</v>
      </c>
      <c r="O333" s="280">
        <v>667900</v>
      </c>
      <c r="P333" s="255">
        <v>624100</v>
      </c>
      <c r="Q333" s="255">
        <v>709900</v>
      </c>
      <c r="R333" s="255" t="s">
        <v>84</v>
      </c>
      <c r="S333" s="192" t="s">
        <v>89</v>
      </c>
      <c r="T333" s="193" t="s">
        <v>61</v>
      </c>
      <c r="U333" s="192">
        <v>3200</v>
      </c>
      <c r="V333" s="192">
        <v>1</v>
      </c>
      <c r="W333" s="217">
        <f t="shared" si="39"/>
        <v>123200</v>
      </c>
      <c r="X333" s="192">
        <v>3750</v>
      </c>
      <c r="Y333" s="192">
        <v>2125</v>
      </c>
      <c r="Z333" s="193" t="s">
        <v>91</v>
      </c>
      <c r="AA333" s="192">
        <v>100</v>
      </c>
      <c r="AB333" s="192">
        <v>125</v>
      </c>
      <c r="AC333" s="217">
        <f t="shared" si="41"/>
        <v>78000</v>
      </c>
      <c r="AD333" s="192">
        <v>0</v>
      </c>
      <c r="AE333" s="197" t="s">
        <v>84</v>
      </c>
      <c r="AF333" s="216">
        <f t="shared" si="84"/>
        <v>43100</v>
      </c>
      <c r="AG333" s="224">
        <f t="shared" ca="1" si="101"/>
        <v>471100</v>
      </c>
      <c r="AH333" s="224">
        <f t="shared" ca="1" si="85"/>
        <v>544466.52380952379</v>
      </c>
      <c r="AI333" s="216">
        <f t="shared" si="86"/>
        <v>156600</v>
      </c>
      <c r="AJ333" s="198">
        <v>6</v>
      </c>
      <c r="AK333" s="198" t="s">
        <v>244</v>
      </c>
      <c r="AL333" s="216">
        <f t="shared" si="102"/>
        <v>123200</v>
      </c>
      <c r="AM333" s="216">
        <f t="shared" si="103"/>
        <v>166300</v>
      </c>
      <c r="AN333" s="230" t="str">
        <f t="shared" ca="1" si="43"/>
        <v>nincs</v>
      </c>
      <c r="AO333" s="230" t="str">
        <f t="shared" ca="1" si="44"/>
        <v>nincs</v>
      </c>
      <c r="AP333" s="230" t="str">
        <f t="shared" ca="1" si="45"/>
        <v>nincs</v>
      </c>
      <c r="AQ333" s="230" t="str">
        <f t="shared" ca="1" si="46"/>
        <v>nincs</v>
      </c>
      <c r="AR333" s="230" t="str">
        <f t="shared" ca="1" si="47"/>
        <v>nincs</v>
      </c>
      <c r="AS333" s="230" t="str">
        <f t="shared" ca="1" si="48"/>
        <v>nincs</v>
      </c>
      <c r="AT333" s="230" t="str">
        <f t="shared" ca="1" si="49"/>
        <v>nincs</v>
      </c>
      <c r="AU333" s="230" t="str">
        <f t="shared" ca="1" si="50"/>
        <v>nincs</v>
      </c>
      <c r="AV333" s="230" t="str">
        <f t="shared" ca="1" si="51"/>
        <v>nincs</v>
      </c>
      <c r="AW333" s="230" t="str">
        <f t="shared" ca="1" si="52"/>
        <v>nincs</v>
      </c>
      <c r="AX333" s="230" t="str">
        <f t="shared" ca="1" si="53"/>
        <v>nincs</v>
      </c>
      <c r="AY333" s="230" t="str">
        <f t="shared" ca="1" si="54"/>
        <v>nincs</v>
      </c>
      <c r="AZ333" s="230" t="str">
        <f t="shared" ca="1" si="55"/>
        <v>nincs</v>
      </c>
      <c r="BA333" s="230" t="str">
        <f t="shared" ca="1" si="56"/>
        <v>nincs</v>
      </c>
      <c r="BB333" s="230" t="str">
        <f t="shared" ca="1" si="57"/>
        <v>nincs</v>
      </c>
      <c r="BC333" s="230" t="str">
        <f t="shared" ca="1" si="58"/>
        <v>nincs</v>
      </c>
      <c r="BD333" s="230" t="str">
        <f t="shared" ca="1" si="59"/>
        <v>nincs</v>
      </c>
      <c r="BE333" s="230" t="str">
        <f t="shared" ca="1" si="60"/>
        <v>nincs</v>
      </c>
      <c r="BG333" s="313" t="s">
        <v>84</v>
      </c>
      <c r="BH333" s="282" t="str">
        <f t="shared" si="96"/>
        <v>nincs</v>
      </c>
      <c r="BI333" s="313" t="s">
        <v>84</v>
      </c>
      <c r="BJ333" s="282" t="str">
        <f t="shared" si="97"/>
        <v>nincs</v>
      </c>
      <c r="BK333" s="313" t="s">
        <v>84</v>
      </c>
      <c r="BL333" s="282" t="str">
        <f t="shared" si="98"/>
        <v>nincs</v>
      </c>
      <c r="BM333" s="313" t="s">
        <v>84</v>
      </c>
      <c r="BN333" s="282" t="str">
        <f t="shared" si="69"/>
        <v>nincs</v>
      </c>
      <c r="BO333" s="313" t="s">
        <v>84</v>
      </c>
      <c r="BP333" s="282" t="str">
        <f t="shared" si="105"/>
        <v>nincs</v>
      </c>
      <c r="BQ333" s="313" t="s">
        <v>84</v>
      </c>
      <c r="BR333" s="282" t="str">
        <f t="shared" si="24"/>
        <v>nincs</v>
      </c>
      <c r="BS333" s="313" t="s">
        <v>84</v>
      </c>
      <c r="BT333" s="282" t="str">
        <f t="shared" si="25"/>
        <v>nincs</v>
      </c>
      <c r="BU333" s="313" t="s">
        <v>84</v>
      </c>
      <c r="BV333" s="282" t="str">
        <f t="shared" si="26"/>
        <v>nincs</v>
      </c>
      <c r="BW333" s="313" t="s">
        <v>84</v>
      </c>
      <c r="BX333" s="282" t="str">
        <f t="shared" si="27"/>
        <v>nincs</v>
      </c>
      <c r="BZ333" s="313" t="s">
        <v>84</v>
      </c>
      <c r="CA333" s="282" t="str">
        <f t="shared" si="87"/>
        <v>nincs</v>
      </c>
      <c r="CB333" s="313" t="s">
        <v>84</v>
      </c>
      <c r="CC333" s="282" t="str">
        <f t="shared" si="88"/>
        <v>nincs</v>
      </c>
      <c r="CD333" s="313" t="s">
        <v>84</v>
      </c>
      <c r="CE333" s="282" t="str">
        <f t="shared" si="89"/>
        <v>nincs</v>
      </c>
      <c r="CF333" s="313" t="s">
        <v>84</v>
      </c>
      <c r="CG333" s="282" t="str">
        <f t="shared" si="90"/>
        <v>nincs</v>
      </c>
      <c r="CH333" s="313" t="s">
        <v>84</v>
      </c>
      <c r="CI333" s="282" t="str">
        <f t="shared" si="91"/>
        <v>nincs</v>
      </c>
      <c r="CJ333" s="313" t="s">
        <v>84</v>
      </c>
      <c r="CK333" s="282" t="str">
        <f t="shared" si="92"/>
        <v>nincs</v>
      </c>
      <c r="CL333" s="313" t="s">
        <v>84</v>
      </c>
      <c r="CM333" s="282" t="str">
        <f t="shared" si="93"/>
        <v>nincs</v>
      </c>
      <c r="CN333" s="313" t="s">
        <v>84</v>
      </c>
      <c r="CO333" s="282" t="str">
        <f t="shared" si="94"/>
        <v>nincs</v>
      </c>
      <c r="CP333" s="313" t="s">
        <v>84</v>
      </c>
      <c r="CQ333" s="282" t="str">
        <f t="shared" si="95"/>
        <v>nincs</v>
      </c>
    </row>
    <row r="334" spans="1:95" s="56" customFormat="1" x14ac:dyDescent="0.3">
      <c r="A334" s="66">
        <v>47</v>
      </c>
      <c r="B334" s="71" t="s">
        <v>29</v>
      </c>
      <c r="C334" s="199" t="s">
        <v>84</v>
      </c>
      <c r="D334" s="199" t="s">
        <v>84</v>
      </c>
      <c r="E334" s="199" t="s">
        <v>84</v>
      </c>
      <c r="F334" s="199" t="s">
        <v>84</v>
      </c>
      <c r="G334" s="112">
        <f t="shared" si="104"/>
        <v>77100</v>
      </c>
      <c r="H334" s="255">
        <v>746900</v>
      </c>
      <c r="I334" s="255">
        <v>585400</v>
      </c>
      <c r="J334" s="255">
        <v>676100</v>
      </c>
      <c r="K334" s="280">
        <v>523100</v>
      </c>
      <c r="L334" s="280">
        <v>613800</v>
      </c>
      <c r="M334" s="280">
        <v>523100</v>
      </c>
      <c r="N334" s="280">
        <f t="shared" si="38"/>
        <v>613800</v>
      </c>
      <c r="O334" s="280">
        <v>688200</v>
      </c>
      <c r="P334" s="255">
        <v>643600</v>
      </c>
      <c r="Q334" s="255">
        <v>734300</v>
      </c>
      <c r="R334" s="255" t="s">
        <v>84</v>
      </c>
      <c r="S334" s="192" t="s">
        <v>89</v>
      </c>
      <c r="T334" s="193" t="s">
        <v>61</v>
      </c>
      <c r="U334" s="192">
        <v>3200</v>
      </c>
      <c r="V334" s="192">
        <v>1</v>
      </c>
      <c r="W334" s="217">
        <f t="shared" si="39"/>
        <v>123200</v>
      </c>
      <c r="X334" s="192">
        <v>3750</v>
      </c>
      <c r="Y334" s="192">
        <v>2250</v>
      </c>
      <c r="Z334" s="193" t="s">
        <v>91</v>
      </c>
      <c r="AA334" s="192">
        <v>100</v>
      </c>
      <c r="AB334" s="192">
        <v>125</v>
      </c>
      <c r="AC334" s="217">
        <f t="shared" si="41"/>
        <v>78000</v>
      </c>
      <c r="AD334" s="192">
        <v>0</v>
      </c>
      <c r="AE334" s="197" t="s">
        <v>84</v>
      </c>
      <c r="AF334" s="216">
        <f t="shared" si="84"/>
        <v>43100</v>
      </c>
      <c r="AG334" s="224">
        <f t="shared" ca="1" si="101"/>
        <v>471100</v>
      </c>
      <c r="AH334" s="224">
        <f t="shared" ca="1" si="85"/>
        <v>544466.52380952379</v>
      </c>
      <c r="AI334" s="216">
        <f t="shared" si="86"/>
        <v>156600</v>
      </c>
      <c r="AJ334" s="198">
        <v>6</v>
      </c>
      <c r="AK334" s="198" t="s">
        <v>244</v>
      </c>
      <c r="AL334" s="216">
        <f t="shared" si="102"/>
        <v>123200</v>
      </c>
      <c r="AM334" s="216">
        <f t="shared" si="103"/>
        <v>166300</v>
      </c>
      <c r="AN334" s="230" t="str">
        <f t="shared" ca="1" si="43"/>
        <v>nincs</v>
      </c>
      <c r="AO334" s="230" t="str">
        <f t="shared" ca="1" si="44"/>
        <v>nincs</v>
      </c>
      <c r="AP334" s="230" t="str">
        <f t="shared" ca="1" si="45"/>
        <v>nincs</v>
      </c>
      <c r="AQ334" s="230" t="str">
        <f t="shared" ca="1" si="46"/>
        <v>nincs</v>
      </c>
      <c r="AR334" s="230" t="str">
        <f t="shared" ca="1" si="47"/>
        <v>nincs</v>
      </c>
      <c r="AS334" s="230" t="str">
        <f t="shared" ca="1" si="48"/>
        <v>nincs</v>
      </c>
      <c r="AT334" s="230" t="str">
        <f t="shared" ca="1" si="49"/>
        <v>nincs</v>
      </c>
      <c r="AU334" s="230" t="str">
        <f t="shared" ca="1" si="50"/>
        <v>nincs</v>
      </c>
      <c r="AV334" s="230" t="str">
        <f t="shared" ca="1" si="51"/>
        <v>nincs</v>
      </c>
      <c r="AW334" s="230" t="str">
        <f t="shared" ca="1" si="52"/>
        <v>nincs</v>
      </c>
      <c r="AX334" s="230" t="str">
        <f t="shared" ca="1" si="53"/>
        <v>nincs</v>
      </c>
      <c r="AY334" s="230" t="str">
        <f t="shared" ca="1" si="54"/>
        <v>nincs</v>
      </c>
      <c r="AZ334" s="230" t="str">
        <f t="shared" ca="1" si="55"/>
        <v>nincs</v>
      </c>
      <c r="BA334" s="230" t="str">
        <f t="shared" ca="1" si="56"/>
        <v>nincs</v>
      </c>
      <c r="BB334" s="230" t="str">
        <f t="shared" ca="1" si="57"/>
        <v>nincs</v>
      </c>
      <c r="BC334" s="230" t="str">
        <f t="shared" ca="1" si="58"/>
        <v>nincs</v>
      </c>
      <c r="BD334" s="230" t="str">
        <f t="shared" ca="1" si="59"/>
        <v>nincs</v>
      </c>
      <c r="BE334" s="230" t="str">
        <f t="shared" ca="1" si="60"/>
        <v>nincs</v>
      </c>
      <c r="BG334" s="313" t="s">
        <v>84</v>
      </c>
      <c r="BH334" s="282" t="str">
        <f t="shared" si="96"/>
        <v>nincs</v>
      </c>
      <c r="BI334" s="313" t="s">
        <v>84</v>
      </c>
      <c r="BJ334" s="282" t="str">
        <f t="shared" si="97"/>
        <v>nincs</v>
      </c>
      <c r="BK334" s="313" t="s">
        <v>84</v>
      </c>
      <c r="BL334" s="282" t="str">
        <f t="shared" si="98"/>
        <v>nincs</v>
      </c>
      <c r="BM334" s="313" t="s">
        <v>84</v>
      </c>
      <c r="BN334" s="282" t="str">
        <f t="shared" si="69"/>
        <v>nincs</v>
      </c>
      <c r="BO334" s="313" t="s">
        <v>84</v>
      </c>
      <c r="BP334" s="282" t="str">
        <f t="shared" si="105"/>
        <v>nincs</v>
      </c>
      <c r="BQ334" s="313" t="s">
        <v>84</v>
      </c>
      <c r="BR334" s="282" t="str">
        <f t="shared" si="24"/>
        <v>nincs</v>
      </c>
      <c r="BS334" s="313" t="s">
        <v>84</v>
      </c>
      <c r="BT334" s="282" t="str">
        <f t="shared" si="25"/>
        <v>nincs</v>
      </c>
      <c r="BU334" s="313" t="s">
        <v>84</v>
      </c>
      <c r="BV334" s="282" t="str">
        <f t="shared" si="26"/>
        <v>nincs</v>
      </c>
      <c r="BW334" s="313" t="s">
        <v>84</v>
      </c>
      <c r="BX334" s="282" t="str">
        <f t="shared" si="27"/>
        <v>nincs</v>
      </c>
      <c r="BZ334" s="313" t="s">
        <v>84</v>
      </c>
      <c r="CA334" s="282" t="str">
        <f t="shared" si="87"/>
        <v>nincs</v>
      </c>
      <c r="CB334" s="313" t="s">
        <v>84</v>
      </c>
      <c r="CC334" s="282" t="str">
        <f t="shared" si="88"/>
        <v>nincs</v>
      </c>
      <c r="CD334" s="313" t="s">
        <v>84</v>
      </c>
      <c r="CE334" s="282" t="str">
        <f t="shared" si="89"/>
        <v>nincs</v>
      </c>
      <c r="CF334" s="313" t="s">
        <v>84</v>
      </c>
      <c r="CG334" s="282" t="str">
        <f t="shared" si="90"/>
        <v>nincs</v>
      </c>
      <c r="CH334" s="313" t="s">
        <v>84</v>
      </c>
      <c r="CI334" s="282" t="str">
        <f t="shared" si="91"/>
        <v>nincs</v>
      </c>
      <c r="CJ334" s="313" t="s">
        <v>84</v>
      </c>
      <c r="CK334" s="282" t="str">
        <f t="shared" si="92"/>
        <v>nincs</v>
      </c>
      <c r="CL334" s="313" t="s">
        <v>84</v>
      </c>
      <c r="CM334" s="282" t="str">
        <f t="shared" si="93"/>
        <v>nincs</v>
      </c>
      <c r="CN334" s="313" t="s">
        <v>84</v>
      </c>
      <c r="CO334" s="282" t="str">
        <f t="shared" si="94"/>
        <v>nincs</v>
      </c>
      <c r="CP334" s="313" t="s">
        <v>84</v>
      </c>
      <c r="CQ334" s="282" t="str">
        <f t="shared" si="95"/>
        <v>nincs</v>
      </c>
    </row>
    <row r="335" spans="1:95" s="56" customFormat="1" x14ac:dyDescent="0.3">
      <c r="A335" s="68">
        <v>48</v>
      </c>
      <c r="B335" s="341" t="s">
        <v>668</v>
      </c>
      <c r="C335" s="199" t="s">
        <v>84</v>
      </c>
      <c r="D335" s="199" t="s">
        <v>84</v>
      </c>
      <c r="E335" s="199" t="s">
        <v>84</v>
      </c>
      <c r="F335" s="199" t="s">
        <v>84</v>
      </c>
      <c r="G335" s="112">
        <f t="shared" si="104"/>
        <v>77100</v>
      </c>
      <c r="H335" s="255">
        <v>782200</v>
      </c>
      <c r="I335" s="255">
        <v>589200</v>
      </c>
      <c r="J335" s="255">
        <v>675300</v>
      </c>
      <c r="K335" s="280">
        <v>526400</v>
      </c>
      <c r="L335" s="280">
        <v>612600</v>
      </c>
      <c r="M335" s="280">
        <v>526400</v>
      </c>
      <c r="N335" s="280">
        <f t="shared" si="38"/>
        <v>612600</v>
      </c>
      <c r="O335" s="280">
        <v>682300</v>
      </c>
      <c r="P335" s="255">
        <v>651800</v>
      </c>
      <c r="Q335" s="255">
        <v>737900</v>
      </c>
      <c r="R335" s="255" t="s">
        <v>84</v>
      </c>
      <c r="S335" s="192" t="s">
        <v>89</v>
      </c>
      <c r="T335" s="193" t="s">
        <v>61</v>
      </c>
      <c r="U335" s="192">
        <v>3200</v>
      </c>
      <c r="V335" s="192">
        <v>1</v>
      </c>
      <c r="W335" s="217">
        <f t="shared" si="39"/>
        <v>123200</v>
      </c>
      <c r="X335" s="192">
        <v>4000</v>
      </c>
      <c r="Y335" s="192">
        <v>2000</v>
      </c>
      <c r="Z335" s="193" t="s">
        <v>91</v>
      </c>
      <c r="AA335" s="192">
        <v>100</v>
      </c>
      <c r="AB335" s="192">
        <v>125</v>
      </c>
      <c r="AC335" s="217">
        <f t="shared" si="41"/>
        <v>78000</v>
      </c>
      <c r="AD335" s="192">
        <v>0</v>
      </c>
      <c r="AE335" s="197" t="s">
        <v>84</v>
      </c>
      <c r="AF335" s="216">
        <f t="shared" si="84"/>
        <v>43100</v>
      </c>
      <c r="AG335" s="224">
        <f t="shared" ca="1" si="101"/>
        <v>471100</v>
      </c>
      <c r="AH335" s="224">
        <f t="shared" ca="1" si="85"/>
        <v>544466.52380952379</v>
      </c>
      <c r="AI335" s="216">
        <f t="shared" si="86"/>
        <v>156600</v>
      </c>
      <c r="AJ335" s="198">
        <v>6</v>
      </c>
      <c r="AK335" s="198" t="s">
        <v>244</v>
      </c>
      <c r="AL335" s="216">
        <f t="shared" si="102"/>
        <v>123200</v>
      </c>
      <c r="AM335" s="216">
        <f t="shared" si="103"/>
        <v>166300</v>
      </c>
      <c r="AN335" s="230" t="str">
        <f t="shared" ca="1" si="43"/>
        <v>nincs</v>
      </c>
      <c r="AO335" s="230" t="str">
        <f t="shared" ca="1" si="44"/>
        <v>nincs</v>
      </c>
      <c r="AP335" s="230" t="str">
        <f t="shared" ca="1" si="45"/>
        <v>nincs</v>
      </c>
      <c r="AQ335" s="230" t="str">
        <f t="shared" ca="1" si="46"/>
        <v>nincs</v>
      </c>
      <c r="AR335" s="230">
        <f t="shared" ca="1" si="47"/>
        <v>564100</v>
      </c>
      <c r="AS335" s="230">
        <f t="shared" ca="1" si="48"/>
        <v>444173</v>
      </c>
      <c r="AT335" s="230">
        <f t="shared" ca="1" si="49"/>
        <v>623300</v>
      </c>
      <c r="AU335" s="230">
        <f t="shared" ca="1" si="50"/>
        <v>490787</v>
      </c>
      <c r="AV335" s="230">
        <f t="shared" ca="1" si="51"/>
        <v>622700</v>
      </c>
      <c r="AW335" s="230">
        <f t="shared" ca="1" si="52"/>
        <v>490315</v>
      </c>
      <c r="AX335" s="230">
        <f t="shared" ca="1" si="53"/>
        <v>681900</v>
      </c>
      <c r="AY335" s="230">
        <f t="shared" ca="1" si="54"/>
        <v>536929</v>
      </c>
      <c r="AZ335" s="230" t="str">
        <f t="shared" ca="1" si="55"/>
        <v>nincs</v>
      </c>
      <c r="BA335" s="230" t="str">
        <f t="shared" ca="1" si="56"/>
        <v>nincs</v>
      </c>
      <c r="BB335" s="230">
        <f t="shared" ca="1" si="57"/>
        <v>591400</v>
      </c>
      <c r="BC335" s="230">
        <f t="shared" ca="1" si="58"/>
        <v>465669</v>
      </c>
      <c r="BD335" s="230">
        <f t="shared" ca="1" si="59"/>
        <v>650000</v>
      </c>
      <c r="BE335" s="230">
        <f t="shared" ca="1" si="60"/>
        <v>511811</v>
      </c>
      <c r="BG335" s="313" t="s">
        <v>84</v>
      </c>
      <c r="BH335" s="282" t="str">
        <f t="shared" si="96"/>
        <v>nincs</v>
      </c>
      <c r="BI335" s="313" t="s">
        <v>84</v>
      </c>
      <c r="BJ335" s="282" t="str">
        <f t="shared" si="97"/>
        <v>nincs</v>
      </c>
      <c r="BK335" s="313" t="s">
        <v>84</v>
      </c>
      <c r="BL335" s="282" t="str">
        <f t="shared" si="98"/>
        <v>nincs</v>
      </c>
      <c r="BM335" s="313" t="s">
        <v>84</v>
      </c>
      <c r="BN335" s="282" t="str">
        <f t="shared" si="69"/>
        <v>nincs</v>
      </c>
      <c r="BO335" s="313" t="s">
        <v>84</v>
      </c>
      <c r="BP335" s="282" t="str">
        <f t="shared" si="105"/>
        <v>nincs</v>
      </c>
      <c r="BQ335" s="313" t="s">
        <v>84</v>
      </c>
      <c r="BR335" s="282" t="str">
        <f t="shared" si="24"/>
        <v>nincs</v>
      </c>
      <c r="BS335" s="313" t="s">
        <v>84</v>
      </c>
      <c r="BT335" s="282" t="str">
        <f t="shared" si="25"/>
        <v>nincs</v>
      </c>
      <c r="BU335" s="313" t="s">
        <v>84</v>
      </c>
      <c r="BV335" s="282" t="str">
        <f t="shared" si="26"/>
        <v>nincs</v>
      </c>
      <c r="BW335" s="313" t="s">
        <v>84</v>
      </c>
      <c r="BX335" s="282" t="str">
        <f t="shared" si="27"/>
        <v>nincs</v>
      </c>
      <c r="BZ335" s="313" t="s">
        <v>84</v>
      </c>
      <c r="CA335" s="282" t="str">
        <f t="shared" si="87"/>
        <v>nincs</v>
      </c>
      <c r="CB335" s="313" t="s">
        <v>84</v>
      </c>
      <c r="CC335" s="282" t="str">
        <f t="shared" si="88"/>
        <v>nincs</v>
      </c>
      <c r="CD335" s="339">
        <v>564100</v>
      </c>
      <c r="CE335" s="282">
        <f t="shared" si="89"/>
        <v>444173</v>
      </c>
      <c r="CF335" s="339">
        <v>623300</v>
      </c>
      <c r="CG335" s="282">
        <f t="shared" si="90"/>
        <v>490787</v>
      </c>
      <c r="CH335" s="339">
        <v>622700</v>
      </c>
      <c r="CI335" s="282">
        <f t="shared" si="91"/>
        <v>490315</v>
      </c>
      <c r="CJ335" s="339">
        <v>681900</v>
      </c>
      <c r="CK335" s="282">
        <f t="shared" si="92"/>
        <v>536929</v>
      </c>
      <c r="CL335" s="313" t="s">
        <v>84</v>
      </c>
      <c r="CM335" s="282" t="str">
        <f t="shared" si="93"/>
        <v>nincs</v>
      </c>
      <c r="CN335" s="339">
        <v>591400</v>
      </c>
      <c r="CO335" s="282">
        <f t="shared" si="94"/>
        <v>465669</v>
      </c>
      <c r="CP335" s="339">
        <v>650000</v>
      </c>
      <c r="CQ335" s="282">
        <f t="shared" si="95"/>
        <v>511811</v>
      </c>
    </row>
    <row r="336" spans="1:95" s="56" customFormat="1" x14ac:dyDescent="0.3">
      <c r="A336" s="66">
        <v>49</v>
      </c>
      <c r="B336" s="71" t="s">
        <v>385</v>
      </c>
      <c r="C336" s="199" t="s">
        <v>84</v>
      </c>
      <c r="D336" s="199" t="s">
        <v>84</v>
      </c>
      <c r="E336" s="199" t="s">
        <v>84</v>
      </c>
      <c r="F336" s="199" t="s">
        <v>84</v>
      </c>
      <c r="G336" s="112">
        <f t="shared" si="104"/>
        <v>77100</v>
      </c>
      <c r="H336" s="255">
        <v>803000</v>
      </c>
      <c r="I336" s="255">
        <v>606700</v>
      </c>
      <c r="J336" s="255">
        <v>698200</v>
      </c>
      <c r="K336" s="280">
        <v>542300</v>
      </c>
      <c r="L336" s="280">
        <v>633800</v>
      </c>
      <c r="M336" s="280">
        <v>542300</v>
      </c>
      <c r="N336" s="280">
        <f t="shared" si="38"/>
        <v>633800</v>
      </c>
      <c r="O336" s="280">
        <v>699200</v>
      </c>
      <c r="P336" s="255">
        <v>668400</v>
      </c>
      <c r="Q336" s="255">
        <v>759900</v>
      </c>
      <c r="R336" s="255" t="s">
        <v>84</v>
      </c>
      <c r="S336" s="192" t="s">
        <v>89</v>
      </c>
      <c r="T336" s="193" t="s">
        <v>61</v>
      </c>
      <c r="U336" s="192">
        <v>3200</v>
      </c>
      <c r="V336" s="192">
        <v>1</v>
      </c>
      <c r="W336" s="217">
        <f t="shared" si="39"/>
        <v>123200</v>
      </c>
      <c r="X336" s="192">
        <v>4000</v>
      </c>
      <c r="Y336" s="192">
        <v>2125</v>
      </c>
      <c r="Z336" s="193" t="s">
        <v>91</v>
      </c>
      <c r="AA336" s="192">
        <v>100</v>
      </c>
      <c r="AB336" s="192">
        <v>125</v>
      </c>
      <c r="AC336" s="217">
        <f t="shared" si="41"/>
        <v>78000</v>
      </c>
      <c r="AD336" s="192">
        <v>0</v>
      </c>
      <c r="AE336" s="197" t="s">
        <v>84</v>
      </c>
      <c r="AF336" s="216">
        <f t="shared" si="84"/>
        <v>43100</v>
      </c>
      <c r="AG336" s="224">
        <f t="shared" ca="1" si="101"/>
        <v>471100</v>
      </c>
      <c r="AH336" s="224">
        <f t="shared" ca="1" si="85"/>
        <v>544466.52380952379</v>
      </c>
      <c r="AI336" s="216">
        <f t="shared" si="86"/>
        <v>156600</v>
      </c>
      <c r="AJ336" s="198">
        <v>6</v>
      </c>
      <c r="AK336" s="198" t="s">
        <v>244</v>
      </c>
      <c r="AL336" s="216">
        <f t="shared" si="102"/>
        <v>123200</v>
      </c>
      <c r="AM336" s="216">
        <f t="shared" si="103"/>
        <v>166300</v>
      </c>
      <c r="AN336" s="230">
        <f t="shared" ca="1" si="43"/>
        <v>542500</v>
      </c>
      <c r="AO336" s="230">
        <f t="shared" ca="1" si="44"/>
        <v>427165</v>
      </c>
      <c r="AP336" s="230">
        <f t="shared" ca="1" si="45"/>
        <v>603400</v>
      </c>
      <c r="AQ336" s="230">
        <f t="shared" ca="1" si="46"/>
        <v>475118</v>
      </c>
      <c r="AR336" s="230">
        <f t="shared" ca="1" si="47"/>
        <v>574900</v>
      </c>
      <c r="AS336" s="230">
        <f t="shared" ca="1" si="48"/>
        <v>452677</v>
      </c>
      <c r="AT336" s="230">
        <f t="shared" ca="1" si="49"/>
        <v>635800</v>
      </c>
      <c r="AU336" s="230">
        <f t="shared" ca="1" si="50"/>
        <v>500630</v>
      </c>
      <c r="AV336" s="230">
        <f t="shared" ca="1" si="51"/>
        <v>633500</v>
      </c>
      <c r="AW336" s="230">
        <f t="shared" ca="1" si="52"/>
        <v>498819</v>
      </c>
      <c r="AX336" s="230">
        <f t="shared" ca="1" si="53"/>
        <v>694300</v>
      </c>
      <c r="AY336" s="230">
        <f t="shared" ca="1" si="54"/>
        <v>546693</v>
      </c>
      <c r="AZ336" s="230">
        <f t="shared" ca="1" si="55"/>
        <v>569800</v>
      </c>
      <c r="BA336" s="230">
        <f t="shared" ca="1" si="56"/>
        <v>448661</v>
      </c>
      <c r="BB336" s="230">
        <f t="shared" ca="1" si="57"/>
        <v>602200</v>
      </c>
      <c r="BC336" s="230">
        <f t="shared" ca="1" si="58"/>
        <v>474173</v>
      </c>
      <c r="BD336" s="230">
        <f t="shared" ca="1" si="59"/>
        <v>660800</v>
      </c>
      <c r="BE336" s="230">
        <f t="shared" ca="1" si="60"/>
        <v>520315</v>
      </c>
      <c r="BF336" s="53"/>
      <c r="BG336" s="313">
        <v>516900</v>
      </c>
      <c r="BH336" s="282">
        <f t="shared" si="96"/>
        <v>407008</v>
      </c>
      <c r="BI336" s="313">
        <v>574900</v>
      </c>
      <c r="BJ336" s="282">
        <f t="shared" si="97"/>
        <v>452677</v>
      </c>
      <c r="BK336" s="313">
        <v>547800</v>
      </c>
      <c r="BL336" s="282">
        <f t="shared" si="98"/>
        <v>431339</v>
      </c>
      <c r="BM336" s="313">
        <v>605800</v>
      </c>
      <c r="BN336" s="282">
        <f t="shared" si="69"/>
        <v>477008</v>
      </c>
      <c r="BO336" s="313">
        <v>603500</v>
      </c>
      <c r="BP336" s="282">
        <f>IF(BO336="nincs","nincs",ROUND(BO336/1.27,0))</f>
        <v>475197</v>
      </c>
      <c r="BQ336" s="313">
        <v>661500</v>
      </c>
      <c r="BR336" s="282">
        <f t="shared" si="24"/>
        <v>520866</v>
      </c>
      <c r="BS336" s="313">
        <v>542900</v>
      </c>
      <c r="BT336" s="282">
        <f t="shared" si="25"/>
        <v>427480</v>
      </c>
      <c r="BU336" s="313">
        <v>573800</v>
      </c>
      <c r="BV336" s="282">
        <f t="shared" si="26"/>
        <v>451811</v>
      </c>
      <c r="BW336" s="313">
        <v>629500</v>
      </c>
      <c r="BX336" s="282">
        <f t="shared" si="27"/>
        <v>495669</v>
      </c>
      <c r="BZ336" s="313">
        <v>542500</v>
      </c>
      <c r="CA336" s="282">
        <f t="shared" si="87"/>
        <v>427165</v>
      </c>
      <c r="CB336" s="313">
        <v>603400</v>
      </c>
      <c r="CC336" s="282">
        <f t="shared" si="88"/>
        <v>475118</v>
      </c>
      <c r="CD336" s="313">
        <v>574900</v>
      </c>
      <c r="CE336" s="282">
        <f t="shared" si="89"/>
        <v>452677</v>
      </c>
      <c r="CF336" s="313">
        <v>635800</v>
      </c>
      <c r="CG336" s="282">
        <f t="shared" si="90"/>
        <v>500630</v>
      </c>
      <c r="CH336" s="313">
        <v>633500</v>
      </c>
      <c r="CI336" s="282">
        <f t="shared" si="91"/>
        <v>498819</v>
      </c>
      <c r="CJ336" s="313">
        <v>694300</v>
      </c>
      <c r="CK336" s="282">
        <f t="shared" si="92"/>
        <v>546693</v>
      </c>
      <c r="CL336" s="313">
        <v>569800</v>
      </c>
      <c r="CM336" s="282">
        <f t="shared" si="93"/>
        <v>448661</v>
      </c>
      <c r="CN336" s="313">
        <v>602200</v>
      </c>
      <c r="CO336" s="282">
        <f t="shared" si="94"/>
        <v>474173</v>
      </c>
      <c r="CP336" s="313">
        <v>660800</v>
      </c>
      <c r="CQ336" s="282">
        <f t="shared" si="95"/>
        <v>520315</v>
      </c>
    </row>
    <row r="337" spans="1:95" s="56" customFormat="1" x14ac:dyDescent="0.3">
      <c r="A337" s="68">
        <v>50</v>
      </c>
      <c r="B337" s="71" t="s">
        <v>386</v>
      </c>
      <c r="C337" s="199" t="s">
        <v>84</v>
      </c>
      <c r="D337" s="199" t="s">
        <v>84</v>
      </c>
      <c r="E337" s="199" t="s">
        <v>84</v>
      </c>
      <c r="F337" s="199" t="s">
        <v>84</v>
      </c>
      <c r="G337" s="112">
        <f t="shared" si="104"/>
        <v>77100</v>
      </c>
      <c r="H337" s="255">
        <v>821200</v>
      </c>
      <c r="I337" s="255">
        <v>618700</v>
      </c>
      <c r="J337" s="255">
        <v>715600</v>
      </c>
      <c r="K337" s="280">
        <v>553300</v>
      </c>
      <c r="L337" s="280">
        <v>650200</v>
      </c>
      <c r="M337" s="280">
        <v>553300</v>
      </c>
      <c r="N337" s="280">
        <f t="shared" si="38"/>
        <v>650200</v>
      </c>
      <c r="O337" s="280">
        <v>721700</v>
      </c>
      <c r="P337" s="255">
        <v>689700</v>
      </c>
      <c r="Q337" s="255">
        <v>786600</v>
      </c>
      <c r="R337" s="255" t="s">
        <v>84</v>
      </c>
      <c r="S337" s="192" t="s">
        <v>89</v>
      </c>
      <c r="T337" s="193" t="s">
        <v>61</v>
      </c>
      <c r="U337" s="192">
        <v>3200</v>
      </c>
      <c r="V337" s="192">
        <v>1</v>
      </c>
      <c r="W337" s="217">
        <f t="shared" si="39"/>
        <v>123200</v>
      </c>
      <c r="X337" s="192">
        <v>4000</v>
      </c>
      <c r="Y337" s="192">
        <v>2250</v>
      </c>
      <c r="Z337" s="193" t="s">
        <v>91</v>
      </c>
      <c r="AA337" s="192">
        <v>100</v>
      </c>
      <c r="AB337" s="192">
        <v>125</v>
      </c>
      <c r="AC337" s="217">
        <f t="shared" si="41"/>
        <v>78000</v>
      </c>
      <c r="AD337" s="192">
        <v>0</v>
      </c>
      <c r="AE337" s="197" t="s">
        <v>84</v>
      </c>
      <c r="AF337" s="216">
        <f t="shared" si="84"/>
        <v>43100</v>
      </c>
      <c r="AG337" s="224">
        <f t="shared" ca="1" si="101"/>
        <v>471100</v>
      </c>
      <c r="AH337" s="224">
        <f t="shared" ca="1" si="85"/>
        <v>544466.52380952379</v>
      </c>
      <c r="AI337" s="216">
        <f t="shared" si="86"/>
        <v>156600</v>
      </c>
      <c r="AJ337" s="198">
        <v>6</v>
      </c>
      <c r="AK337" s="198" t="s">
        <v>244</v>
      </c>
      <c r="AL337" s="216">
        <f t="shared" si="102"/>
        <v>123200</v>
      </c>
      <c r="AM337" s="216">
        <f t="shared" si="103"/>
        <v>166300</v>
      </c>
      <c r="AN337" s="230">
        <f t="shared" ca="1" si="43"/>
        <v>563500</v>
      </c>
      <c r="AO337" s="230">
        <f t="shared" ca="1" si="44"/>
        <v>443701</v>
      </c>
      <c r="AP337" s="230">
        <f t="shared" ca="1" si="45"/>
        <v>624800</v>
      </c>
      <c r="AQ337" s="230">
        <f t="shared" ca="1" si="46"/>
        <v>491969</v>
      </c>
      <c r="AR337" s="230">
        <f t="shared" ca="1" si="47"/>
        <v>595900</v>
      </c>
      <c r="AS337" s="230">
        <f t="shared" ca="1" si="48"/>
        <v>469213</v>
      </c>
      <c r="AT337" s="230">
        <f t="shared" ca="1" si="49"/>
        <v>657200</v>
      </c>
      <c r="AU337" s="230">
        <f t="shared" ca="1" si="50"/>
        <v>517480</v>
      </c>
      <c r="AV337" s="230">
        <f t="shared" ca="1" si="51"/>
        <v>654400</v>
      </c>
      <c r="AW337" s="230">
        <f t="shared" ca="1" si="52"/>
        <v>515276</v>
      </c>
      <c r="AX337" s="230">
        <f t="shared" ca="1" si="53"/>
        <v>715800</v>
      </c>
      <c r="AY337" s="230">
        <f t="shared" ca="1" si="54"/>
        <v>563622</v>
      </c>
      <c r="AZ337" s="230">
        <f t="shared" ca="1" si="55"/>
        <v>590800</v>
      </c>
      <c r="BA337" s="230">
        <f t="shared" ca="1" si="56"/>
        <v>465197</v>
      </c>
      <c r="BB337" s="230">
        <f t="shared" ca="1" si="57"/>
        <v>623200</v>
      </c>
      <c r="BC337" s="230">
        <f t="shared" ca="1" si="58"/>
        <v>490709</v>
      </c>
      <c r="BD337" s="230">
        <f t="shared" ca="1" si="59"/>
        <v>681700</v>
      </c>
      <c r="BE337" s="230">
        <f t="shared" ca="1" si="60"/>
        <v>536772</v>
      </c>
      <c r="BG337" s="313">
        <v>536800</v>
      </c>
      <c r="BH337" s="282">
        <f t="shared" si="96"/>
        <v>422677</v>
      </c>
      <c r="BI337" s="313">
        <v>595400</v>
      </c>
      <c r="BJ337" s="282">
        <f t="shared" si="97"/>
        <v>468819</v>
      </c>
      <c r="BK337" s="313">
        <v>467700</v>
      </c>
      <c r="BL337" s="282">
        <f t="shared" si="98"/>
        <v>368268</v>
      </c>
      <c r="BM337" s="313">
        <v>626200</v>
      </c>
      <c r="BN337" s="282">
        <f t="shared" si="69"/>
        <v>493071</v>
      </c>
      <c r="BO337" s="313">
        <v>623400</v>
      </c>
      <c r="BP337" s="282">
        <f>IF(BO337="nincs","nincs",ROUND(BO337/1.27,0))</f>
        <v>490866</v>
      </c>
      <c r="BQ337" s="313">
        <v>682000</v>
      </c>
      <c r="BR337" s="282">
        <f t="shared" si="24"/>
        <v>537008</v>
      </c>
      <c r="BS337" s="313">
        <v>562900</v>
      </c>
      <c r="BT337" s="282">
        <f t="shared" si="25"/>
        <v>443228</v>
      </c>
      <c r="BU337" s="313">
        <v>593700</v>
      </c>
      <c r="BV337" s="282">
        <f t="shared" si="26"/>
        <v>467480</v>
      </c>
      <c r="BW337" s="313">
        <v>649500</v>
      </c>
      <c r="BX337" s="282">
        <f t="shared" si="27"/>
        <v>511417</v>
      </c>
      <c r="BZ337" s="313">
        <v>563500</v>
      </c>
      <c r="CA337" s="282">
        <f t="shared" si="87"/>
        <v>443701</v>
      </c>
      <c r="CB337" s="313">
        <v>624800</v>
      </c>
      <c r="CC337" s="282">
        <f t="shared" si="88"/>
        <v>491969</v>
      </c>
      <c r="CD337" s="313">
        <v>595900</v>
      </c>
      <c r="CE337" s="282">
        <f t="shared" si="89"/>
        <v>469213</v>
      </c>
      <c r="CF337" s="313">
        <v>657200</v>
      </c>
      <c r="CG337" s="282">
        <f t="shared" si="90"/>
        <v>517480</v>
      </c>
      <c r="CH337" s="313">
        <v>654400</v>
      </c>
      <c r="CI337" s="282">
        <f t="shared" si="91"/>
        <v>515276</v>
      </c>
      <c r="CJ337" s="313">
        <v>715800</v>
      </c>
      <c r="CK337" s="282">
        <f t="shared" si="92"/>
        <v>563622</v>
      </c>
      <c r="CL337" s="313">
        <v>590800</v>
      </c>
      <c r="CM337" s="282">
        <f t="shared" si="93"/>
        <v>465197</v>
      </c>
      <c r="CN337" s="313">
        <v>623200</v>
      </c>
      <c r="CO337" s="282">
        <f t="shared" si="94"/>
        <v>490709</v>
      </c>
      <c r="CP337" s="313">
        <v>681700</v>
      </c>
      <c r="CQ337" s="282">
        <f t="shared" si="95"/>
        <v>536772</v>
      </c>
    </row>
    <row r="338" spans="1:95" s="56" customFormat="1" x14ac:dyDescent="0.3">
      <c r="A338" s="66">
        <v>51</v>
      </c>
      <c r="B338" s="71" t="s">
        <v>31</v>
      </c>
      <c r="C338" s="199" t="s">
        <v>84</v>
      </c>
      <c r="D338" s="199" t="s">
        <v>84</v>
      </c>
      <c r="E338" s="199" t="s">
        <v>84</v>
      </c>
      <c r="F338" s="199" t="s">
        <v>84</v>
      </c>
      <c r="G338" s="112">
        <f t="shared" si="104"/>
        <v>77100</v>
      </c>
      <c r="H338" s="255">
        <v>830400</v>
      </c>
      <c r="I338" s="255">
        <v>623300</v>
      </c>
      <c r="J338" s="255">
        <v>714800</v>
      </c>
      <c r="K338" s="280">
        <v>557200</v>
      </c>
      <c r="L338" s="280">
        <v>648700</v>
      </c>
      <c r="M338" s="280">
        <v>557200</v>
      </c>
      <c r="N338" s="280">
        <f t="shared" si="38"/>
        <v>648700</v>
      </c>
      <c r="O338" s="280">
        <v>712000</v>
      </c>
      <c r="P338" s="255">
        <v>672800</v>
      </c>
      <c r="Q338" s="255">
        <v>764300</v>
      </c>
      <c r="R338" s="255" t="s">
        <v>84</v>
      </c>
      <c r="S338" s="192" t="s">
        <v>89</v>
      </c>
      <c r="T338" s="193" t="s">
        <v>61</v>
      </c>
      <c r="U338" s="192">
        <v>3200</v>
      </c>
      <c r="V338" s="192">
        <v>1</v>
      </c>
      <c r="W338" s="217">
        <f t="shared" si="39"/>
        <v>123200</v>
      </c>
      <c r="X338" s="192">
        <v>4250</v>
      </c>
      <c r="Y338" s="192">
        <v>2000</v>
      </c>
      <c r="Z338" s="193" t="s">
        <v>90</v>
      </c>
      <c r="AA338" s="193">
        <v>210</v>
      </c>
      <c r="AB338" s="193">
        <v>210</v>
      </c>
      <c r="AC338" s="255">
        <f>65000*1.3</f>
        <v>84500</v>
      </c>
      <c r="AD338" s="192">
        <v>0</v>
      </c>
      <c r="AE338" s="197" t="s">
        <v>84</v>
      </c>
      <c r="AF338" s="216">
        <f t="shared" si="84"/>
        <v>43100</v>
      </c>
      <c r="AG338" s="281">
        <f t="shared" ref="AG338:AG351" ca="1" si="106">($K$223+$K$224)</f>
        <v>450300</v>
      </c>
      <c r="AH338" s="224">
        <f t="shared" ca="1" si="85"/>
        <v>523666.52380952379</v>
      </c>
      <c r="AI338" s="216">
        <f t="shared" si="86"/>
        <v>182700</v>
      </c>
      <c r="AJ338" s="198">
        <v>7</v>
      </c>
      <c r="AK338" s="198" t="s">
        <v>244</v>
      </c>
      <c r="AL338" s="216">
        <f t="shared" si="102"/>
        <v>123200</v>
      </c>
      <c r="AM338" s="216">
        <f t="shared" si="103"/>
        <v>166300</v>
      </c>
      <c r="AN338" s="230" t="str">
        <f t="shared" ca="1" si="43"/>
        <v>nincs</v>
      </c>
      <c r="AO338" s="230" t="str">
        <f t="shared" ca="1" si="44"/>
        <v>nincs</v>
      </c>
      <c r="AP338" s="230" t="str">
        <f t="shared" ca="1" si="45"/>
        <v>nincs</v>
      </c>
      <c r="AQ338" s="230" t="str">
        <f t="shared" ca="1" si="46"/>
        <v>nincs</v>
      </c>
      <c r="AR338" s="230" t="str">
        <f t="shared" ca="1" si="47"/>
        <v>nincs</v>
      </c>
      <c r="AS338" s="230" t="str">
        <f t="shared" ca="1" si="48"/>
        <v>nincs</v>
      </c>
      <c r="AT338" s="230" t="str">
        <f t="shared" ca="1" si="49"/>
        <v>nincs</v>
      </c>
      <c r="AU338" s="230" t="str">
        <f t="shared" ca="1" si="50"/>
        <v>nincs</v>
      </c>
      <c r="AV338" s="230" t="str">
        <f t="shared" ca="1" si="51"/>
        <v>nincs</v>
      </c>
      <c r="AW338" s="230" t="str">
        <f t="shared" ca="1" si="52"/>
        <v>nincs</v>
      </c>
      <c r="AX338" s="230" t="str">
        <f t="shared" ca="1" si="53"/>
        <v>nincs</v>
      </c>
      <c r="AY338" s="230" t="str">
        <f t="shared" ca="1" si="54"/>
        <v>nincs</v>
      </c>
      <c r="AZ338" s="230" t="str">
        <f t="shared" ca="1" si="55"/>
        <v>nincs</v>
      </c>
      <c r="BA338" s="230" t="str">
        <f t="shared" ca="1" si="56"/>
        <v>nincs</v>
      </c>
      <c r="BB338" s="230" t="str">
        <f t="shared" ca="1" si="57"/>
        <v>nincs</v>
      </c>
      <c r="BC338" s="230" t="str">
        <f t="shared" ca="1" si="58"/>
        <v>nincs</v>
      </c>
      <c r="BD338" s="230" t="str">
        <f t="shared" ca="1" si="59"/>
        <v>nincs</v>
      </c>
      <c r="BE338" s="230" t="str">
        <f t="shared" ca="1" si="60"/>
        <v>nincs</v>
      </c>
      <c r="BG338" s="313" t="s">
        <v>84</v>
      </c>
      <c r="BH338" s="282" t="str">
        <f t="shared" si="96"/>
        <v>nincs</v>
      </c>
      <c r="BI338" s="313" t="s">
        <v>84</v>
      </c>
      <c r="BJ338" s="282" t="str">
        <f t="shared" si="97"/>
        <v>nincs</v>
      </c>
      <c r="BK338" s="313" t="s">
        <v>84</v>
      </c>
      <c r="BL338" s="282" t="str">
        <f t="shared" si="98"/>
        <v>nincs</v>
      </c>
      <c r="BM338" s="313" t="s">
        <v>84</v>
      </c>
      <c r="BN338" s="282" t="str">
        <f t="shared" si="69"/>
        <v>nincs</v>
      </c>
      <c r="BO338" s="313" t="s">
        <v>84</v>
      </c>
      <c r="BP338" s="282" t="str">
        <f t="shared" ref="BP338:BP349" si="107">IF(BO338="nincs","nincs",ROUND(BO338/1.27,0))</f>
        <v>nincs</v>
      </c>
      <c r="BQ338" s="313" t="s">
        <v>84</v>
      </c>
      <c r="BR338" s="282" t="str">
        <f t="shared" si="24"/>
        <v>nincs</v>
      </c>
      <c r="BS338" s="313" t="s">
        <v>84</v>
      </c>
      <c r="BT338" s="282" t="str">
        <f t="shared" si="25"/>
        <v>nincs</v>
      </c>
      <c r="BU338" s="313" t="s">
        <v>84</v>
      </c>
      <c r="BV338" s="282" t="str">
        <f t="shared" si="26"/>
        <v>nincs</v>
      </c>
      <c r="BW338" s="313" t="s">
        <v>84</v>
      </c>
      <c r="BX338" s="282" t="str">
        <f t="shared" si="27"/>
        <v>nincs</v>
      </c>
      <c r="BZ338" s="313" t="s">
        <v>84</v>
      </c>
      <c r="CA338" s="282" t="str">
        <f t="shared" si="87"/>
        <v>nincs</v>
      </c>
      <c r="CB338" s="313" t="s">
        <v>84</v>
      </c>
      <c r="CC338" s="282" t="str">
        <f t="shared" si="88"/>
        <v>nincs</v>
      </c>
      <c r="CD338" s="313" t="s">
        <v>84</v>
      </c>
      <c r="CE338" s="282" t="str">
        <f t="shared" si="89"/>
        <v>nincs</v>
      </c>
      <c r="CF338" s="313" t="s">
        <v>84</v>
      </c>
      <c r="CG338" s="282" t="str">
        <f t="shared" si="90"/>
        <v>nincs</v>
      </c>
      <c r="CH338" s="313" t="s">
        <v>84</v>
      </c>
      <c r="CI338" s="282" t="str">
        <f t="shared" si="91"/>
        <v>nincs</v>
      </c>
      <c r="CJ338" s="313" t="s">
        <v>84</v>
      </c>
      <c r="CK338" s="282" t="str">
        <f t="shared" si="92"/>
        <v>nincs</v>
      </c>
      <c r="CL338" s="313" t="s">
        <v>84</v>
      </c>
      <c r="CM338" s="282" t="str">
        <f t="shared" si="93"/>
        <v>nincs</v>
      </c>
      <c r="CN338" s="313" t="s">
        <v>84</v>
      </c>
      <c r="CO338" s="282" t="str">
        <f t="shared" si="94"/>
        <v>nincs</v>
      </c>
      <c r="CP338" s="313" t="s">
        <v>84</v>
      </c>
      <c r="CQ338" s="282" t="str">
        <f t="shared" si="95"/>
        <v>nincs</v>
      </c>
    </row>
    <row r="339" spans="1:95" s="56" customFormat="1" x14ac:dyDescent="0.3">
      <c r="A339" s="68">
        <v>52</v>
      </c>
      <c r="B339" s="71" t="s">
        <v>32</v>
      </c>
      <c r="C339" s="199" t="s">
        <v>84</v>
      </c>
      <c r="D339" s="199" t="s">
        <v>84</v>
      </c>
      <c r="E339" s="199" t="s">
        <v>84</v>
      </c>
      <c r="F339" s="199" t="s">
        <v>84</v>
      </c>
      <c r="G339" s="112">
        <f t="shared" si="104"/>
        <v>77100</v>
      </c>
      <c r="H339" s="255">
        <v>847300</v>
      </c>
      <c r="I339" s="255">
        <v>641800</v>
      </c>
      <c r="J339" s="255">
        <v>739200</v>
      </c>
      <c r="K339" s="280">
        <v>573300</v>
      </c>
      <c r="L339" s="280">
        <v>670700</v>
      </c>
      <c r="M339" s="280">
        <v>573300</v>
      </c>
      <c r="N339" s="280">
        <f t="shared" si="38"/>
        <v>670700</v>
      </c>
      <c r="O339" s="280">
        <v>734600</v>
      </c>
      <c r="P339" s="255">
        <v>691200</v>
      </c>
      <c r="Q339" s="255">
        <v>788600</v>
      </c>
      <c r="R339" s="255" t="s">
        <v>84</v>
      </c>
      <c r="S339" s="192" t="s">
        <v>89</v>
      </c>
      <c r="T339" s="193" t="s">
        <v>61</v>
      </c>
      <c r="U339" s="192">
        <v>3200</v>
      </c>
      <c r="V339" s="192">
        <v>1</v>
      </c>
      <c r="W339" s="217">
        <f t="shared" si="39"/>
        <v>123200</v>
      </c>
      <c r="X339" s="192">
        <v>4250</v>
      </c>
      <c r="Y339" s="192">
        <v>2125</v>
      </c>
      <c r="Z339" s="193" t="s">
        <v>90</v>
      </c>
      <c r="AA339" s="193">
        <v>210</v>
      </c>
      <c r="AB339" s="193">
        <v>210</v>
      </c>
      <c r="AC339" s="217">
        <f t="shared" si="41"/>
        <v>84500</v>
      </c>
      <c r="AD339" s="192">
        <v>0</v>
      </c>
      <c r="AE339" s="197" t="s">
        <v>84</v>
      </c>
      <c r="AF339" s="216">
        <f t="shared" si="84"/>
        <v>43100</v>
      </c>
      <c r="AG339" s="281">
        <f t="shared" ca="1" si="106"/>
        <v>450300</v>
      </c>
      <c r="AH339" s="224">
        <f t="shared" ca="1" si="85"/>
        <v>523666.52380952379</v>
      </c>
      <c r="AI339" s="216">
        <f t="shared" si="86"/>
        <v>182700</v>
      </c>
      <c r="AJ339" s="198">
        <v>7</v>
      </c>
      <c r="AK339" s="198" t="s">
        <v>244</v>
      </c>
      <c r="AL339" s="216">
        <f t="shared" si="102"/>
        <v>123200</v>
      </c>
      <c r="AM339" s="216">
        <f t="shared" si="103"/>
        <v>166300</v>
      </c>
      <c r="AN339" s="230" t="str">
        <f t="shared" ca="1" si="43"/>
        <v>nincs</v>
      </c>
      <c r="AO339" s="230" t="str">
        <f t="shared" ca="1" si="44"/>
        <v>nincs</v>
      </c>
      <c r="AP339" s="230" t="str">
        <f t="shared" ca="1" si="45"/>
        <v>nincs</v>
      </c>
      <c r="AQ339" s="230" t="str">
        <f t="shared" ca="1" si="46"/>
        <v>nincs</v>
      </c>
      <c r="AR339" s="230" t="str">
        <f t="shared" ca="1" si="47"/>
        <v>nincs</v>
      </c>
      <c r="AS339" s="230" t="str">
        <f t="shared" ca="1" si="48"/>
        <v>nincs</v>
      </c>
      <c r="AT339" s="230" t="str">
        <f t="shared" ca="1" si="49"/>
        <v>nincs</v>
      </c>
      <c r="AU339" s="230" t="str">
        <f t="shared" ca="1" si="50"/>
        <v>nincs</v>
      </c>
      <c r="AV339" s="230" t="str">
        <f t="shared" ca="1" si="51"/>
        <v>nincs</v>
      </c>
      <c r="AW339" s="230" t="str">
        <f t="shared" ca="1" si="52"/>
        <v>nincs</v>
      </c>
      <c r="AX339" s="230" t="str">
        <f t="shared" ca="1" si="53"/>
        <v>nincs</v>
      </c>
      <c r="AY339" s="230" t="str">
        <f t="shared" ca="1" si="54"/>
        <v>nincs</v>
      </c>
      <c r="AZ339" s="230" t="str">
        <f t="shared" ca="1" si="55"/>
        <v>nincs</v>
      </c>
      <c r="BA339" s="230" t="str">
        <f t="shared" ca="1" si="56"/>
        <v>nincs</v>
      </c>
      <c r="BB339" s="230" t="str">
        <f t="shared" ca="1" si="57"/>
        <v>nincs</v>
      </c>
      <c r="BC339" s="230" t="str">
        <f t="shared" ca="1" si="58"/>
        <v>nincs</v>
      </c>
      <c r="BD339" s="230" t="str">
        <f t="shared" ca="1" si="59"/>
        <v>nincs</v>
      </c>
      <c r="BE339" s="230" t="str">
        <f t="shared" ca="1" si="60"/>
        <v>nincs</v>
      </c>
      <c r="BG339" s="313" t="s">
        <v>84</v>
      </c>
      <c r="BH339" s="282" t="str">
        <f t="shared" si="96"/>
        <v>nincs</v>
      </c>
      <c r="BI339" s="313" t="s">
        <v>84</v>
      </c>
      <c r="BJ339" s="282" t="str">
        <f t="shared" si="97"/>
        <v>nincs</v>
      </c>
      <c r="BK339" s="313" t="s">
        <v>84</v>
      </c>
      <c r="BL339" s="282" t="str">
        <f t="shared" si="98"/>
        <v>nincs</v>
      </c>
      <c r="BM339" s="313" t="s">
        <v>84</v>
      </c>
      <c r="BN339" s="282" t="str">
        <f t="shared" si="69"/>
        <v>nincs</v>
      </c>
      <c r="BO339" s="313" t="s">
        <v>84</v>
      </c>
      <c r="BP339" s="282" t="str">
        <f t="shared" si="107"/>
        <v>nincs</v>
      </c>
      <c r="BQ339" s="313" t="s">
        <v>84</v>
      </c>
      <c r="BR339" s="282" t="str">
        <f t="shared" si="24"/>
        <v>nincs</v>
      </c>
      <c r="BS339" s="313" t="s">
        <v>84</v>
      </c>
      <c r="BT339" s="282" t="str">
        <f t="shared" si="25"/>
        <v>nincs</v>
      </c>
      <c r="BU339" s="313" t="s">
        <v>84</v>
      </c>
      <c r="BV339" s="282" t="str">
        <f t="shared" si="26"/>
        <v>nincs</v>
      </c>
      <c r="BW339" s="313" t="s">
        <v>84</v>
      </c>
      <c r="BX339" s="282" t="str">
        <f t="shared" si="27"/>
        <v>nincs</v>
      </c>
      <c r="BZ339" s="313" t="s">
        <v>84</v>
      </c>
      <c r="CA339" s="282" t="str">
        <f t="shared" si="87"/>
        <v>nincs</v>
      </c>
      <c r="CB339" s="313" t="s">
        <v>84</v>
      </c>
      <c r="CC339" s="282" t="str">
        <f t="shared" si="88"/>
        <v>nincs</v>
      </c>
      <c r="CD339" s="313" t="s">
        <v>84</v>
      </c>
      <c r="CE339" s="282" t="str">
        <f t="shared" si="89"/>
        <v>nincs</v>
      </c>
      <c r="CF339" s="313" t="s">
        <v>84</v>
      </c>
      <c r="CG339" s="282" t="str">
        <f t="shared" si="90"/>
        <v>nincs</v>
      </c>
      <c r="CH339" s="313" t="s">
        <v>84</v>
      </c>
      <c r="CI339" s="282" t="str">
        <f t="shared" si="91"/>
        <v>nincs</v>
      </c>
      <c r="CJ339" s="313" t="s">
        <v>84</v>
      </c>
      <c r="CK339" s="282" t="str">
        <f t="shared" si="92"/>
        <v>nincs</v>
      </c>
      <c r="CL339" s="313" t="s">
        <v>84</v>
      </c>
      <c r="CM339" s="282" t="str">
        <f t="shared" si="93"/>
        <v>nincs</v>
      </c>
      <c r="CN339" s="313" t="s">
        <v>84</v>
      </c>
      <c r="CO339" s="282" t="str">
        <f t="shared" si="94"/>
        <v>nincs</v>
      </c>
      <c r="CP339" s="313" t="s">
        <v>84</v>
      </c>
      <c r="CQ339" s="282" t="str">
        <f t="shared" si="95"/>
        <v>nincs</v>
      </c>
    </row>
    <row r="340" spans="1:95" s="56" customFormat="1" x14ac:dyDescent="0.3">
      <c r="A340" s="66">
        <v>53</v>
      </c>
      <c r="B340" s="71" t="s">
        <v>33</v>
      </c>
      <c r="C340" s="199" t="s">
        <v>84</v>
      </c>
      <c r="D340" s="199" t="s">
        <v>84</v>
      </c>
      <c r="E340" s="199" t="s">
        <v>84</v>
      </c>
      <c r="F340" s="199" t="s">
        <v>84</v>
      </c>
      <c r="G340" s="112">
        <f t="shared" si="104"/>
        <v>77100</v>
      </c>
      <c r="H340" s="255">
        <v>862400</v>
      </c>
      <c r="I340" s="255">
        <v>655400</v>
      </c>
      <c r="J340" s="255">
        <v>758400</v>
      </c>
      <c r="K340" s="280">
        <v>585600</v>
      </c>
      <c r="L340" s="280">
        <v>688700</v>
      </c>
      <c r="M340" s="280">
        <v>585600</v>
      </c>
      <c r="N340" s="280">
        <f t="shared" si="38"/>
        <v>688700</v>
      </c>
      <c r="O340" s="280">
        <v>755600</v>
      </c>
      <c r="P340" s="255">
        <v>712000</v>
      </c>
      <c r="Q340" s="255">
        <v>815000</v>
      </c>
      <c r="R340" s="255" t="s">
        <v>84</v>
      </c>
      <c r="S340" s="192" t="s">
        <v>89</v>
      </c>
      <c r="T340" s="193" t="s">
        <v>61</v>
      </c>
      <c r="U340" s="192">
        <v>3200</v>
      </c>
      <c r="V340" s="192">
        <v>1</v>
      </c>
      <c r="W340" s="217">
        <f t="shared" si="39"/>
        <v>123200</v>
      </c>
      <c r="X340" s="192">
        <v>4250</v>
      </c>
      <c r="Y340" s="192">
        <v>2250</v>
      </c>
      <c r="Z340" s="193" t="s">
        <v>90</v>
      </c>
      <c r="AA340" s="193">
        <v>210</v>
      </c>
      <c r="AB340" s="193">
        <v>210</v>
      </c>
      <c r="AC340" s="217">
        <f t="shared" si="41"/>
        <v>84500</v>
      </c>
      <c r="AD340" s="192">
        <v>0</v>
      </c>
      <c r="AE340" s="197" t="s">
        <v>84</v>
      </c>
      <c r="AF340" s="216">
        <f t="shared" si="84"/>
        <v>43100</v>
      </c>
      <c r="AG340" s="281">
        <f t="shared" ca="1" si="106"/>
        <v>450300</v>
      </c>
      <c r="AH340" s="224">
        <f t="shared" ca="1" si="85"/>
        <v>523666.52380952379</v>
      </c>
      <c r="AI340" s="216">
        <f t="shared" si="86"/>
        <v>182700</v>
      </c>
      <c r="AJ340" s="198">
        <v>7</v>
      </c>
      <c r="AK340" s="198" t="s">
        <v>244</v>
      </c>
      <c r="AL340" s="216">
        <f t="shared" si="102"/>
        <v>123200</v>
      </c>
      <c r="AM340" s="216">
        <f t="shared" si="103"/>
        <v>166300</v>
      </c>
      <c r="AN340" s="230" t="str">
        <f t="shared" ca="1" si="43"/>
        <v>nincs</v>
      </c>
      <c r="AO340" s="230" t="str">
        <f t="shared" ca="1" si="44"/>
        <v>nincs</v>
      </c>
      <c r="AP340" s="230" t="str">
        <f t="shared" ca="1" si="45"/>
        <v>nincs</v>
      </c>
      <c r="AQ340" s="230" t="str">
        <f t="shared" ca="1" si="46"/>
        <v>nincs</v>
      </c>
      <c r="AR340" s="230" t="str">
        <f t="shared" ca="1" si="47"/>
        <v>nincs</v>
      </c>
      <c r="AS340" s="230" t="str">
        <f t="shared" ca="1" si="48"/>
        <v>nincs</v>
      </c>
      <c r="AT340" s="230" t="str">
        <f t="shared" ca="1" si="49"/>
        <v>nincs</v>
      </c>
      <c r="AU340" s="230" t="str">
        <f t="shared" ca="1" si="50"/>
        <v>nincs</v>
      </c>
      <c r="AV340" s="230" t="str">
        <f t="shared" ca="1" si="51"/>
        <v>nincs</v>
      </c>
      <c r="AW340" s="230" t="str">
        <f t="shared" ca="1" si="52"/>
        <v>nincs</v>
      </c>
      <c r="AX340" s="230" t="str">
        <f t="shared" ca="1" si="53"/>
        <v>nincs</v>
      </c>
      <c r="AY340" s="230" t="str">
        <f t="shared" ca="1" si="54"/>
        <v>nincs</v>
      </c>
      <c r="AZ340" s="230" t="str">
        <f t="shared" ca="1" si="55"/>
        <v>nincs</v>
      </c>
      <c r="BA340" s="230" t="str">
        <f t="shared" ca="1" si="56"/>
        <v>nincs</v>
      </c>
      <c r="BB340" s="230" t="str">
        <f t="shared" ca="1" si="57"/>
        <v>nincs</v>
      </c>
      <c r="BC340" s="230" t="str">
        <f t="shared" ca="1" si="58"/>
        <v>nincs</v>
      </c>
      <c r="BD340" s="230" t="str">
        <f t="shared" ca="1" si="59"/>
        <v>nincs</v>
      </c>
      <c r="BE340" s="230" t="str">
        <f t="shared" ca="1" si="60"/>
        <v>nincs</v>
      </c>
      <c r="BG340" s="313" t="s">
        <v>84</v>
      </c>
      <c r="BH340" s="282" t="str">
        <f t="shared" si="96"/>
        <v>nincs</v>
      </c>
      <c r="BI340" s="313" t="s">
        <v>84</v>
      </c>
      <c r="BJ340" s="282" t="str">
        <f t="shared" si="97"/>
        <v>nincs</v>
      </c>
      <c r="BK340" s="313" t="s">
        <v>84</v>
      </c>
      <c r="BL340" s="282" t="str">
        <f t="shared" si="98"/>
        <v>nincs</v>
      </c>
      <c r="BM340" s="313" t="s">
        <v>84</v>
      </c>
      <c r="BN340" s="282" t="str">
        <f t="shared" si="69"/>
        <v>nincs</v>
      </c>
      <c r="BO340" s="313" t="s">
        <v>84</v>
      </c>
      <c r="BP340" s="282" t="str">
        <f t="shared" si="107"/>
        <v>nincs</v>
      </c>
      <c r="BQ340" s="313" t="s">
        <v>84</v>
      </c>
      <c r="BR340" s="282" t="str">
        <f t="shared" si="24"/>
        <v>nincs</v>
      </c>
      <c r="BS340" s="313" t="s">
        <v>84</v>
      </c>
      <c r="BT340" s="282" t="str">
        <f t="shared" si="25"/>
        <v>nincs</v>
      </c>
      <c r="BU340" s="313" t="s">
        <v>84</v>
      </c>
      <c r="BV340" s="282" t="str">
        <f t="shared" si="26"/>
        <v>nincs</v>
      </c>
      <c r="BW340" s="313" t="s">
        <v>84</v>
      </c>
      <c r="BX340" s="282" t="str">
        <f t="shared" si="27"/>
        <v>nincs</v>
      </c>
      <c r="BZ340" s="313" t="s">
        <v>84</v>
      </c>
      <c r="CA340" s="282" t="str">
        <f t="shared" si="87"/>
        <v>nincs</v>
      </c>
      <c r="CB340" s="313" t="s">
        <v>84</v>
      </c>
      <c r="CC340" s="282" t="str">
        <f t="shared" si="88"/>
        <v>nincs</v>
      </c>
      <c r="CD340" s="313" t="s">
        <v>84</v>
      </c>
      <c r="CE340" s="282" t="str">
        <f t="shared" si="89"/>
        <v>nincs</v>
      </c>
      <c r="CF340" s="313" t="s">
        <v>84</v>
      </c>
      <c r="CG340" s="282" t="str">
        <f t="shared" si="90"/>
        <v>nincs</v>
      </c>
      <c r="CH340" s="313" t="s">
        <v>84</v>
      </c>
      <c r="CI340" s="282" t="str">
        <f t="shared" si="91"/>
        <v>nincs</v>
      </c>
      <c r="CJ340" s="313" t="s">
        <v>84</v>
      </c>
      <c r="CK340" s="282" t="str">
        <f t="shared" si="92"/>
        <v>nincs</v>
      </c>
      <c r="CL340" s="313" t="s">
        <v>84</v>
      </c>
      <c r="CM340" s="282" t="str">
        <f t="shared" si="93"/>
        <v>nincs</v>
      </c>
      <c r="CN340" s="313" t="s">
        <v>84</v>
      </c>
      <c r="CO340" s="282" t="str">
        <f t="shared" si="94"/>
        <v>nincs</v>
      </c>
      <c r="CP340" s="313" t="s">
        <v>84</v>
      </c>
      <c r="CQ340" s="282" t="str">
        <f t="shared" si="95"/>
        <v>nincs</v>
      </c>
    </row>
    <row r="341" spans="1:95" s="56" customFormat="1" x14ac:dyDescent="0.3">
      <c r="A341" s="68">
        <v>54</v>
      </c>
      <c r="B341" s="71" t="s">
        <v>34</v>
      </c>
      <c r="C341" s="199" t="s">
        <v>84</v>
      </c>
      <c r="D341" s="199" t="s">
        <v>84</v>
      </c>
      <c r="E341" s="199" t="s">
        <v>84</v>
      </c>
      <c r="F341" s="199" t="s">
        <v>84</v>
      </c>
      <c r="G341" s="112">
        <f t="shared" si="104"/>
        <v>77100</v>
      </c>
      <c r="H341" s="255">
        <v>847300</v>
      </c>
      <c r="I341" s="255">
        <v>657200</v>
      </c>
      <c r="J341" s="255">
        <v>754000</v>
      </c>
      <c r="K341" s="280">
        <v>586400</v>
      </c>
      <c r="L341" s="280">
        <v>683300</v>
      </c>
      <c r="M341" s="280">
        <v>586400</v>
      </c>
      <c r="N341" s="280">
        <f t="shared" si="38"/>
        <v>683300</v>
      </c>
      <c r="O341" s="280">
        <v>750200</v>
      </c>
      <c r="P341" s="255">
        <v>691500</v>
      </c>
      <c r="Q341" s="255">
        <v>788400</v>
      </c>
      <c r="R341" s="255" t="s">
        <v>84</v>
      </c>
      <c r="S341" s="192" t="s">
        <v>89</v>
      </c>
      <c r="T341" s="193" t="s">
        <v>61</v>
      </c>
      <c r="U341" s="192">
        <v>3200</v>
      </c>
      <c r="V341" s="192">
        <v>1</v>
      </c>
      <c r="W341" s="217">
        <f t="shared" si="39"/>
        <v>123200</v>
      </c>
      <c r="X341" s="192">
        <v>4500</v>
      </c>
      <c r="Y341" s="192">
        <v>2000</v>
      </c>
      <c r="Z341" s="193" t="s">
        <v>90</v>
      </c>
      <c r="AA341" s="193">
        <v>210</v>
      </c>
      <c r="AB341" s="193">
        <v>210</v>
      </c>
      <c r="AC341" s="217">
        <f t="shared" si="41"/>
        <v>84500</v>
      </c>
      <c r="AD341" s="192">
        <v>0</v>
      </c>
      <c r="AE341" s="197" t="s">
        <v>84</v>
      </c>
      <c r="AF341" s="216">
        <f t="shared" si="84"/>
        <v>43100</v>
      </c>
      <c r="AG341" s="281">
        <f t="shared" ca="1" si="106"/>
        <v>450300</v>
      </c>
      <c r="AH341" s="224">
        <f t="shared" ca="1" si="85"/>
        <v>523666.52380952379</v>
      </c>
      <c r="AI341" s="216">
        <f t="shared" si="86"/>
        <v>182700</v>
      </c>
      <c r="AJ341" s="198">
        <v>7</v>
      </c>
      <c r="AK341" s="198" t="s">
        <v>244</v>
      </c>
      <c r="AL341" s="216">
        <f t="shared" si="102"/>
        <v>123200</v>
      </c>
      <c r="AM341" s="216">
        <f t="shared" si="103"/>
        <v>166300</v>
      </c>
      <c r="AN341" s="230" t="str">
        <f t="shared" ca="1" si="43"/>
        <v>nincs</v>
      </c>
      <c r="AO341" s="230" t="str">
        <f t="shared" ca="1" si="44"/>
        <v>nincs</v>
      </c>
      <c r="AP341" s="230" t="str">
        <f t="shared" ca="1" si="45"/>
        <v>nincs</v>
      </c>
      <c r="AQ341" s="230" t="str">
        <f t="shared" ca="1" si="46"/>
        <v>nincs</v>
      </c>
      <c r="AR341" s="230" t="str">
        <f t="shared" ca="1" si="47"/>
        <v>nincs</v>
      </c>
      <c r="AS341" s="230" t="str">
        <f t="shared" ca="1" si="48"/>
        <v>nincs</v>
      </c>
      <c r="AT341" s="230" t="str">
        <f t="shared" ca="1" si="49"/>
        <v>nincs</v>
      </c>
      <c r="AU341" s="230" t="str">
        <f t="shared" ca="1" si="50"/>
        <v>nincs</v>
      </c>
      <c r="AV341" s="230" t="str">
        <f t="shared" ca="1" si="51"/>
        <v>nincs</v>
      </c>
      <c r="AW341" s="230" t="str">
        <f t="shared" ca="1" si="52"/>
        <v>nincs</v>
      </c>
      <c r="AX341" s="230" t="str">
        <f t="shared" ca="1" si="53"/>
        <v>nincs</v>
      </c>
      <c r="AY341" s="230" t="str">
        <f t="shared" ca="1" si="54"/>
        <v>nincs</v>
      </c>
      <c r="AZ341" s="230" t="str">
        <f t="shared" ca="1" si="55"/>
        <v>nincs</v>
      </c>
      <c r="BA341" s="230" t="str">
        <f t="shared" ca="1" si="56"/>
        <v>nincs</v>
      </c>
      <c r="BB341" s="230" t="str">
        <f t="shared" ca="1" si="57"/>
        <v>nincs</v>
      </c>
      <c r="BC341" s="230" t="str">
        <f t="shared" ca="1" si="58"/>
        <v>nincs</v>
      </c>
      <c r="BD341" s="230" t="str">
        <f t="shared" ca="1" si="59"/>
        <v>nincs</v>
      </c>
      <c r="BE341" s="230" t="str">
        <f t="shared" ca="1" si="60"/>
        <v>nincs</v>
      </c>
      <c r="BG341" s="313" t="s">
        <v>84</v>
      </c>
      <c r="BH341" s="282" t="str">
        <f t="shared" si="96"/>
        <v>nincs</v>
      </c>
      <c r="BI341" s="313" t="s">
        <v>84</v>
      </c>
      <c r="BJ341" s="282" t="str">
        <f t="shared" si="97"/>
        <v>nincs</v>
      </c>
      <c r="BK341" s="313" t="s">
        <v>84</v>
      </c>
      <c r="BL341" s="282" t="str">
        <f t="shared" si="98"/>
        <v>nincs</v>
      </c>
      <c r="BM341" s="313" t="s">
        <v>84</v>
      </c>
      <c r="BN341" s="282" t="str">
        <f t="shared" si="69"/>
        <v>nincs</v>
      </c>
      <c r="BO341" s="313" t="s">
        <v>84</v>
      </c>
      <c r="BP341" s="282" t="str">
        <f t="shared" si="107"/>
        <v>nincs</v>
      </c>
      <c r="BQ341" s="313" t="s">
        <v>84</v>
      </c>
      <c r="BR341" s="282" t="str">
        <f t="shared" si="24"/>
        <v>nincs</v>
      </c>
      <c r="BS341" s="313" t="s">
        <v>84</v>
      </c>
      <c r="BT341" s="282" t="str">
        <f t="shared" si="25"/>
        <v>nincs</v>
      </c>
      <c r="BU341" s="313" t="s">
        <v>84</v>
      </c>
      <c r="BV341" s="282" t="str">
        <f t="shared" si="26"/>
        <v>nincs</v>
      </c>
      <c r="BW341" s="313" t="s">
        <v>84</v>
      </c>
      <c r="BX341" s="282" t="str">
        <f t="shared" si="27"/>
        <v>nincs</v>
      </c>
      <c r="BZ341" s="313" t="s">
        <v>84</v>
      </c>
      <c r="CA341" s="282" t="str">
        <f t="shared" si="87"/>
        <v>nincs</v>
      </c>
      <c r="CB341" s="313" t="s">
        <v>84</v>
      </c>
      <c r="CC341" s="282" t="str">
        <f t="shared" si="88"/>
        <v>nincs</v>
      </c>
      <c r="CD341" s="313" t="s">
        <v>84</v>
      </c>
      <c r="CE341" s="282" t="str">
        <f t="shared" si="89"/>
        <v>nincs</v>
      </c>
      <c r="CF341" s="313" t="s">
        <v>84</v>
      </c>
      <c r="CG341" s="282" t="str">
        <f t="shared" si="90"/>
        <v>nincs</v>
      </c>
      <c r="CH341" s="313" t="s">
        <v>84</v>
      </c>
      <c r="CI341" s="282" t="str">
        <f t="shared" si="91"/>
        <v>nincs</v>
      </c>
      <c r="CJ341" s="313" t="s">
        <v>84</v>
      </c>
      <c r="CK341" s="282" t="str">
        <f t="shared" si="92"/>
        <v>nincs</v>
      </c>
      <c r="CL341" s="313" t="s">
        <v>84</v>
      </c>
      <c r="CM341" s="282" t="str">
        <f t="shared" si="93"/>
        <v>nincs</v>
      </c>
      <c r="CN341" s="313" t="s">
        <v>84</v>
      </c>
      <c r="CO341" s="282" t="str">
        <f t="shared" si="94"/>
        <v>nincs</v>
      </c>
      <c r="CP341" s="313" t="s">
        <v>84</v>
      </c>
      <c r="CQ341" s="282" t="str">
        <f t="shared" si="95"/>
        <v>nincs</v>
      </c>
    </row>
    <row r="342" spans="1:95" s="56" customFormat="1" x14ac:dyDescent="0.3">
      <c r="A342" s="66">
        <v>55</v>
      </c>
      <c r="B342" s="71" t="s">
        <v>35</v>
      </c>
      <c r="C342" s="199" t="s">
        <v>84</v>
      </c>
      <c r="D342" s="199" t="s">
        <v>84</v>
      </c>
      <c r="E342" s="199" t="s">
        <v>84</v>
      </c>
      <c r="F342" s="199" t="s">
        <v>84</v>
      </c>
      <c r="G342" s="112">
        <f t="shared" si="104"/>
        <v>77100</v>
      </c>
      <c r="H342" s="255">
        <v>875000</v>
      </c>
      <c r="I342" s="255">
        <v>676900</v>
      </c>
      <c r="J342" s="255">
        <v>779900</v>
      </c>
      <c r="K342" s="280">
        <v>603600</v>
      </c>
      <c r="L342" s="280">
        <v>706600</v>
      </c>
      <c r="M342" s="280">
        <v>603600</v>
      </c>
      <c r="N342" s="280">
        <f t="shared" si="38"/>
        <v>706600</v>
      </c>
      <c r="O342" s="280">
        <v>773500</v>
      </c>
      <c r="P342" s="255">
        <v>712000</v>
      </c>
      <c r="Q342" s="255">
        <v>815000</v>
      </c>
      <c r="R342" s="255" t="s">
        <v>84</v>
      </c>
      <c r="S342" s="192" t="s">
        <v>89</v>
      </c>
      <c r="T342" s="193" t="s">
        <v>61</v>
      </c>
      <c r="U342" s="192">
        <v>3200</v>
      </c>
      <c r="V342" s="192">
        <v>1</v>
      </c>
      <c r="W342" s="217">
        <f t="shared" si="39"/>
        <v>123200</v>
      </c>
      <c r="X342" s="192">
        <v>4500</v>
      </c>
      <c r="Y342" s="192">
        <v>2125</v>
      </c>
      <c r="Z342" s="193" t="s">
        <v>90</v>
      </c>
      <c r="AA342" s="193">
        <v>210</v>
      </c>
      <c r="AB342" s="193">
        <v>210</v>
      </c>
      <c r="AC342" s="217">
        <f t="shared" si="41"/>
        <v>84500</v>
      </c>
      <c r="AD342" s="192">
        <v>0</v>
      </c>
      <c r="AE342" s="197" t="s">
        <v>84</v>
      </c>
      <c r="AF342" s="216">
        <f t="shared" si="84"/>
        <v>43100</v>
      </c>
      <c r="AG342" s="281">
        <f t="shared" ca="1" si="106"/>
        <v>450300</v>
      </c>
      <c r="AH342" s="224">
        <f t="shared" ca="1" si="85"/>
        <v>523666.52380952379</v>
      </c>
      <c r="AI342" s="216">
        <f t="shared" si="86"/>
        <v>182700</v>
      </c>
      <c r="AJ342" s="198">
        <v>7</v>
      </c>
      <c r="AK342" s="198" t="s">
        <v>244</v>
      </c>
      <c r="AL342" s="216">
        <f t="shared" si="102"/>
        <v>123200</v>
      </c>
      <c r="AM342" s="216">
        <f t="shared" si="103"/>
        <v>166300</v>
      </c>
      <c r="AN342" s="230" t="str">
        <f t="shared" ca="1" si="43"/>
        <v>nincs</v>
      </c>
      <c r="AO342" s="230" t="str">
        <f t="shared" ca="1" si="44"/>
        <v>nincs</v>
      </c>
      <c r="AP342" s="230" t="str">
        <f t="shared" ca="1" si="45"/>
        <v>nincs</v>
      </c>
      <c r="AQ342" s="230" t="str">
        <f t="shared" ca="1" si="46"/>
        <v>nincs</v>
      </c>
      <c r="AR342" s="230" t="str">
        <f t="shared" ca="1" si="47"/>
        <v>nincs</v>
      </c>
      <c r="AS342" s="230" t="str">
        <f t="shared" ca="1" si="48"/>
        <v>nincs</v>
      </c>
      <c r="AT342" s="230" t="str">
        <f t="shared" ca="1" si="49"/>
        <v>nincs</v>
      </c>
      <c r="AU342" s="230" t="str">
        <f t="shared" ca="1" si="50"/>
        <v>nincs</v>
      </c>
      <c r="AV342" s="230" t="str">
        <f t="shared" ca="1" si="51"/>
        <v>nincs</v>
      </c>
      <c r="AW342" s="230" t="str">
        <f t="shared" ca="1" si="52"/>
        <v>nincs</v>
      </c>
      <c r="AX342" s="230" t="str">
        <f t="shared" ca="1" si="53"/>
        <v>nincs</v>
      </c>
      <c r="AY342" s="230" t="str">
        <f t="shared" ca="1" si="54"/>
        <v>nincs</v>
      </c>
      <c r="AZ342" s="230" t="str">
        <f t="shared" ca="1" si="55"/>
        <v>nincs</v>
      </c>
      <c r="BA342" s="230" t="str">
        <f t="shared" ca="1" si="56"/>
        <v>nincs</v>
      </c>
      <c r="BB342" s="230" t="str">
        <f t="shared" ca="1" si="57"/>
        <v>nincs</v>
      </c>
      <c r="BC342" s="230" t="str">
        <f t="shared" ca="1" si="58"/>
        <v>nincs</v>
      </c>
      <c r="BD342" s="230" t="str">
        <f t="shared" ca="1" si="59"/>
        <v>nincs</v>
      </c>
      <c r="BE342" s="230" t="str">
        <f t="shared" ca="1" si="60"/>
        <v>nincs</v>
      </c>
      <c r="BG342" s="313" t="s">
        <v>84</v>
      </c>
      <c r="BH342" s="282" t="str">
        <f t="shared" si="96"/>
        <v>nincs</v>
      </c>
      <c r="BI342" s="313" t="s">
        <v>84</v>
      </c>
      <c r="BJ342" s="282" t="str">
        <f t="shared" si="97"/>
        <v>nincs</v>
      </c>
      <c r="BK342" s="313" t="s">
        <v>84</v>
      </c>
      <c r="BL342" s="282" t="str">
        <f t="shared" si="98"/>
        <v>nincs</v>
      </c>
      <c r="BM342" s="313" t="s">
        <v>84</v>
      </c>
      <c r="BN342" s="282" t="str">
        <f t="shared" si="69"/>
        <v>nincs</v>
      </c>
      <c r="BO342" s="313" t="s">
        <v>84</v>
      </c>
      <c r="BP342" s="282" t="str">
        <f t="shared" si="107"/>
        <v>nincs</v>
      </c>
      <c r="BQ342" s="313" t="s">
        <v>84</v>
      </c>
      <c r="BR342" s="282" t="str">
        <f t="shared" si="24"/>
        <v>nincs</v>
      </c>
      <c r="BS342" s="313" t="s">
        <v>84</v>
      </c>
      <c r="BT342" s="282" t="str">
        <f t="shared" si="25"/>
        <v>nincs</v>
      </c>
      <c r="BU342" s="313" t="s">
        <v>84</v>
      </c>
      <c r="BV342" s="282" t="str">
        <f t="shared" si="26"/>
        <v>nincs</v>
      </c>
      <c r="BW342" s="313" t="s">
        <v>84</v>
      </c>
      <c r="BX342" s="282" t="str">
        <f t="shared" si="27"/>
        <v>nincs</v>
      </c>
      <c r="BZ342" s="313" t="s">
        <v>84</v>
      </c>
      <c r="CA342" s="282" t="str">
        <f t="shared" si="87"/>
        <v>nincs</v>
      </c>
      <c r="CB342" s="313" t="s">
        <v>84</v>
      </c>
      <c r="CC342" s="282" t="str">
        <f t="shared" si="88"/>
        <v>nincs</v>
      </c>
      <c r="CD342" s="313" t="s">
        <v>84</v>
      </c>
      <c r="CE342" s="282" t="str">
        <f t="shared" si="89"/>
        <v>nincs</v>
      </c>
      <c r="CF342" s="313" t="s">
        <v>84</v>
      </c>
      <c r="CG342" s="282" t="str">
        <f t="shared" si="90"/>
        <v>nincs</v>
      </c>
      <c r="CH342" s="313" t="s">
        <v>84</v>
      </c>
      <c r="CI342" s="282" t="str">
        <f t="shared" si="91"/>
        <v>nincs</v>
      </c>
      <c r="CJ342" s="313" t="s">
        <v>84</v>
      </c>
      <c r="CK342" s="282" t="str">
        <f t="shared" si="92"/>
        <v>nincs</v>
      </c>
      <c r="CL342" s="313" t="s">
        <v>84</v>
      </c>
      <c r="CM342" s="282" t="str">
        <f t="shared" si="93"/>
        <v>nincs</v>
      </c>
      <c r="CN342" s="313" t="s">
        <v>84</v>
      </c>
      <c r="CO342" s="282" t="str">
        <f t="shared" si="94"/>
        <v>nincs</v>
      </c>
      <c r="CP342" s="313" t="s">
        <v>84</v>
      </c>
      <c r="CQ342" s="282" t="str">
        <f t="shared" si="95"/>
        <v>nincs</v>
      </c>
    </row>
    <row r="343" spans="1:95" s="56" customFormat="1" x14ac:dyDescent="0.3">
      <c r="A343" s="68">
        <v>56</v>
      </c>
      <c r="B343" s="71" t="s">
        <v>36</v>
      </c>
      <c r="C343" s="199" t="s">
        <v>84</v>
      </c>
      <c r="D343" s="199" t="s">
        <v>84</v>
      </c>
      <c r="E343" s="199" t="s">
        <v>84</v>
      </c>
      <c r="F343" s="199" t="s">
        <v>84</v>
      </c>
      <c r="G343" s="112">
        <f t="shared" si="104"/>
        <v>77100</v>
      </c>
      <c r="H343" s="255">
        <v>895300</v>
      </c>
      <c r="I343" s="255">
        <v>689700</v>
      </c>
      <c r="J343" s="255">
        <v>798600</v>
      </c>
      <c r="K343" s="280">
        <v>615100</v>
      </c>
      <c r="L343" s="280">
        <v>724000</v>
      </c>
      <c r="M343" s="280">
        <v>615100</v>
      </c>
      <c r="N343" s="280">
        <f t="shared" si="38"/>
        <v>724000</v>
      </c>
      <c r="O343" s="280">
        <v>790200</v>
      </c>
      <c r="P343" s="255">
        <v>734800</v>
      </c>
      <c r="Q343" s="255">
        <v>843700</v>
      </c>
      <c r="R343" s="255" t="s">
        <v>84</v>
      </c>
      <c r="S343" s="193" t="s">
        <v>570</v>
      </c>
      <c r="T343" s="193" t="s">
        <v>61</v>
      </c>
      <c r="U343" s="192">
        <v>3200</v>
      </c>
      <c r="V343" s="192">
        <v>1</v>
      </c>
      <c r="W343" s="217">
        <f>AM343</f>
        <v>166300</v>
      </c>
      <c r="X343" s="192">
        <v>4500</v>
      </c>
      <c r="Y343" s="192">
        <v>2250</v>
      </c>
      <c r="Z343" s="193" t="s">
        <v>90</v>
      </c>
      <c r="AA343" s="193">
        <v>210</v>
      </c>
      <c r="AB343" s="193">
        <v>210</v>
      </c>
      <c r="AC343" s="217">
        <f t="shared" si="41"/>
        <v>84500</v>
      </c>
      <c r="AD343" s="192">
        <v>0</v>
      </c>
      <c r="AE343" s="197" t="s">
        <v>84</v>
      </c>
      <c r="AF343" s="217">
        <v>0</v>
      </c>
      <c r="AG343" s="281">
        <f t="shared" ca="1" si="106"/>
        <v>450300</v>
      </c>
      <c r="AH343" s="224">
        <f t="shared" ca="1" si="85"/>
        <v>523666.52380952379</v>
      </c>
      <c r="AI343" s="216">
        <f t="shared" si="86"/>
        <v>182700</v>
      </c>
      <c r="AJ343" s="198">
        <v>7</v>
      </c>
      <c r="AK343" s="198" t="s">
        <v>244</v>
      </c>
      <c r="AL343" s="198" t="s">
        <v>244</v>
      </c>
      <c r="AM343" s="216">
        <f t="shared" si="103"/>
        <v>166300</v>
      </c>
      <c r="AN343" s="230" t="str">
        <f t="shared" ca="1" si="43"/>
        <v>nincs</v>
      </c>
      <c r="AO343" s="230" t="str">
        <f t="shared" ca="1" si="44"/>
        <v>nincs</v>
      </c>
      <c r="AP343" s="230" t="str">
        <f t="shared" ca="1" si="45"/>
        <v>nincs</v>
      </c>
      <c r="AQ343" s="230" t="str">
        <f t="shared" ca="1" si="46"/>
        <v>nincs</v>
      </c>
      <c r="AR343" s="230" t="str">
        <f t="shared" ca="1" si="47"/>
        <v>nincs</v>
      </c>
      <c r="AS343" s="230" t="str">
        <f t="shared" ca="1" si="48"/>
        <v>nincs</v>
      </c>
      <c r="AT343" s="230" t="str">
        <f t="shared" ca="1" si="49"/>
        <v>nincs</v>
      </c>
      <c r="AU343" s="230" t="str">
        <f t="shared" ca="1" si="50"/>
        <v>nincs</v>
      </c>
      <c r="AV343" s="230" t="str">
        <f t="shared" ca="1" si="51"/>
        <v>nincs</v>
      </c>
      <c r="AW343" s="230" t="str">
        <f t="shared" ca="1" si="52"/>
        <v>nincs</v>
      </c>
      <c r="AX343" s="230" t="str">
        <f t="shared" ca="1" si="53"/>
        <v>nincs</v>
      </c>
      <c r="AY343" s="230" t="str">
        <f t="shared" ca="1" si="54"/>
        <v>nincs</v>
      </c>
      <c r="AZ343" s="230" t="str">
        <f t="shared" ca="1" si="55"/>
        <v>nincs</v>
      </c>
      <c r="BA343" s="230" t="str">
        <f t="shared" ca="1" si="56"/>
        <v>nincs</v>
      </c>
      <c r="BB343" s="230" t="str">
        <f t="shared" ca="1" si="57"/>
        <v>nincs</v>
      </c>
      <c r="BC343" s="230" t="str">
        <f t="shared" ca="1" si="58"/>
        <v>nincs</v>
      </c>
      <c r="BD343" s="230" t="str">
        <f t="shared" ca="1" si="59"/>
        <v>nincs</v>
      </c>
      <c r="BE343" s="230" t="str">
        <f t="shared" ca="1" si="60"/>
        <v>nincs</v>
      </c>
      <c r="BG343" s="313" t="s">
        <v>84</v>
      </c>
      <c r="BH343" s="282" t="str">
        <f t="shared" si="96"/>
        <v>nincs</v>
      </c>
      <c r="BI343" s="313" t="s">
        <v>84</v>
      </c>
      <c r="BJ343" s="282" t="str">
        <f t="shared" si="97"/>
        <v>nincs</v>
      </c>
      <c r="BK343" s="313" t="s">
        <v>84</v>
      </c>
      <c r="BL343" s="282" t="str">
        <f t="shared" si="98"/>
        <v>nincs</v>
      </c>
      <c r="BM343" s="313" t="s">
        <v>84</v>
      </c>
      <c r="BN343" s="282" t="str">
        <f t="shared" si="69"/>
        <v>nincs</v>
      </c>
      <c r="BO343" s="313" t="s">
        <v>84</v>
      </c>
      <c r="BP343" s="282" t="str">
        <f t="shared" si="107"/>
        <v>nincs</v>
      </c>
      <c r="BQ343" s="313" t="s">
        <v>84</v>
      </c>
      <c r="BR343" s="282" t="str">
        <f t="shared" si="24"/>
        <v>nincs</v>
      </c>
      <c r="BS343" s="313" t="s">
        <v>84</v>
      </c>
      <c r="BT343" s="282" t="str">
        <f t="shared" si="25"/>
        <v>nincs</v>
      </c>
      <c r="BU343" s="313" t="s">
        <v>84</v>
      </c>
      <c r="BV343" s="282" t="str">
        <f t="shared" si="26"/>
        <v>nincs</v>
      </c>
      <c r="BW343" s="313" t="s">
        <v>84</v>
      </c>
      <c r="BX343" s="282" t="str">
        <f t="shared" si="27"/>
        <v>nincs</v>
      </c>
      <c r="BZ343" s="313" t="s">
        <v>84</v>
      </c>
      <c r="CA343" s="282" t="str">
        <f t="shared" si="87"/>
        <v>nincs</v>
      </c>
      <c r="CB343" s="313" t="s">
        <v>84</v>
      </c>
      <c r="CC343" s="282" t="str">
        <f t="shared" si="88"/>
        <v>nincs</v>
      </c>
      <c r="CD343" s="313" t="s">
        <v>84</v>
      </c>
      <c r="CE343" s="282" t="str">
        <f t="shared" si="89"/>
        <v>nincs</v>
      </c>
      <c r="CF343" s="313" t="s">
        <v>84</v>
      </c>
      <c r="CG343" s="282" t="str">
        <f t="shared" si="90"/>
        <v>nincs</v>
      </c>
      <c r="CH343" s="313" t="s">
        <v>84</v>
      </c>
      <c r="CI343" s="282" t="str">
        <f t="shared" si="91"/>
        <v>nincs</v>
      </c>
      <c r="CJ343" s="313" t="s">
        <v>84</v>
      </c>
      <c r="CK343" s="282" t="str">
        <f t="shared" si="92"/>
        <v>nincs</v>
      </c>
      <c r="CL343" s="313" t="s">
        <v>84</v>
      </c>
      <c r="CM343" s="282" t="str">
        <f t="shared" si="93"/>
        <v>nincs</v>
      </c>
      <c r="CN343" s="313" t="s">
        <v>84</v>
      </c>
      <c r="CO343" s="282" t="str">
        <f t="shared" si="94"/>
        <v>nincs</v>
      </c>
      <c r="CP343" s="313" t="s">
        <v>84</v>
      </c>
      <c r="CQ343" s="282" t="str">
        <f t="shared" si="95"/>
        <v>nincs</v>
      </c>
    </row>
    <row r="344" spans="1:95" s="56" customFormat="1" x14ac:dyDescent="0.3">
      <c r="A344" s="66">
        <v>57</v>
      </c>
      <c r="B344" s="71" t="s">
        <v>37</v>
      </c>
      <c r="C344" s="199" t="s">
        <v>84</v>
      </c>
      <c r="D344" s="199" t="s">
        <v>84</v>
      </c>
      <c r="E344" s="199" t="s">
        <v>84</v>
      </c>
      <c r="F344" s="199" t="s">
        <v>84</v>
      </c>
      <c r="G344" s="112">
        <f t="shared" si="104"/>
        <v>77100</v>
      </c>
      <c r="H344" s="255">
        <v>885300</v>
      </c>
      <c r="I344" s="255">
        <v>677900</v>
      </c>
      <c r="J344" s="255">
        <v>780200</v>
      </c>
      <c r="K344" s="280">
        <v>604900</v>
      </c>
      <c r="L344" s="280">
        <v>707100</v>
      </c>
      <c r="M344" s="280">
        <v>604900</v>
      </c>
      <c r="N344" s="280">
        <f t="shared" si="38"/>
        <v>707100</v>
      </c>
      <c r="O344" s="280">
        <v>766100</v>
      </c>
      <c r="P344" s="255">
        <v>712500</v>
      </c>
      <c r="Q344" s="255">
        <v>814800</v>
      </c>
      <c r="R344" s="255" t="s">
        <v>84</v>
      </c>
      <c r="S344" s="192" t="s">
        <v>89</v>
      </c>
      <c r="T344" s="193" t="s">
        <v>61</v>
      </c>
      <c r="U344" s="192">
        <v>3200</v>
      </c>
      <c r="V344" s="192">
        <v>1</v>
      </c>
      <c r="W344" s="217">
        <f t="shared" si="39"/>
        <v>123200</v>
      </c>
      <c r="X344" s="192">
        <v>4750</v>
      </c>
      <c r="Y344" s="192">
        <v>2000</v>
      </c>
      <c r="Z344" s="193" t="s">
        <v>90</v>
      </c>
      <c r="AA344" s="193">
        <v>210</v>
      </c>
      <c r="AB344" s="193">
        <v>210</v>
      </c>
      <c r="AC344" s="217">
        <f t="shared" si="41"/>
        <v>84500</v>
      </c>
      <c r="AD344" s="192">
        <v>0</v>
      </c>
      <c r="AE344" s="197" t="s">
        <v>84</v>
      </c>
      <c r="AF344" s="216">
        <v>0</v>
      </c>
      <c r="AG344" s="281">
        <f t="shared" ca="1" si="106"/>
        <v>450300</v>
      </c>
      <c r="AH344" s="224">
        <f t="shared" ca="1" si="85"/>
        <v>523666.52380952379</v>
      </c>
      <c r="AI344" s="216">
        <f t="shared" si="86"/>
        <v>182700</v>
      </c>
      <c r="AJ344" s="198">
        <v>7</v>
      </c>
      <c r="AK344" s="198" t="s">
        <v>244</v>
      </c>
      <c r="AL344" s="216">
        <f>$J$134</f>
        <v>123200</v>
      </c>
      <c r="AM344" s="216">
        <f t="shared" si="103"/>
        <v>166300</v>
      </c>
      <c r="AN344" s="230" t="str">
        <f t="shared" ca="1" si="43"/>
        <v>nincs</v>
      </c>
      <c r="AO344" s="230" t="str">
        <f t="shared" ca="1" si="44"/>
        <v>nincs</v>
      </c>
      <c r="AP344" s="230" t="str">
        <f t="shared" ca="1" si="45"/>
        <v>nincs</v>
      </c>
      <c r="AQ344" s="230" t="str">
        <f t="shared" ca="1" si="46"/>
        <v>nincs</v>
      </c>
      <c r="AR344" s="230" t="str">
        <f t="shared" ca="1" si="47"/>
        <v>nincs</v>
      </c>
      <c r="AS344" s="230" t="str">
        <f t="shared" ca="1" si="48"/>
        <v>nincs</v>
      </c>
      <c r="AT344" s="230" t="str">
        <f t="shared" ca="1" si="49"/>
        <v>nincs</v>
      </c>
      <c r="AU344" s="230" t="str">
        <f t="shared" ca="1" si="50"/>
        <v>nincs</v>
      </c>
      <c r="AV344" s="230" t="str">
        <f t="shared" ca="1" si="51"/>
        <v>nincs</v>
      </c>
      <c r="AW344" s="230" t="str">
        <f t="shared" ca="1" si="52"/>
        <v>nincs</v>
      </c>
      <c r="AX344" s="230" t="str">
        <f t="shared" ca="1" si="53"/>
        <v>nincs</v>
      </c>
      <c r="AY344" s="230" t="str">
        <f t="shared" ca="1" si="54"/>
        <v>nincs</v>
      </c>
      <c r="AZ344" s="230" t="str">
        <f t="shared" ca="1" si="55"/>
        <v>nincs</v>
      </c>
      <c r="BA344" s="230" t="str">
        <f t="shared" ca="1" si="56"/>
        <v>nincs</v>
      </c>
      <c r="BB344" s="230" t="str">
        <f t="shared" ca="1" si="57"/>
        <v>nincs</v>
      </c>
      <c r="BC344" s="230" t="str">
        <f t="shared" ca="1" si="58"/>
        <v>nincs</v>
      </c>
      <c r="BD344" s="230" t="str">
        <f t="shared" ca="1" si="59"/>
        <v>nincs</v>
      </c>
      <c r="BE344" s="230" t="str">
        <f t="shared" ca="1" si="60"/>
        <v>nincs</v>
      </c>
      <c r="BG344" s="313" t="s">
        <v>84</v>
      </c>
      <c r="BH344" s="282" t="str">
        <f t="shared" si="96"/>
        <v>nincs</v>
      </c>
      <c r="BI344" s="313" t="s">
        <v>84</v>
      </c>
      <c r="BJ344" s="282" t="str">
        <f t="shared" si="97"/>
        <v>nincs</v>
      </c>
      <c r="BK344" s="313" t="s">
        <v>84</v>
      </c>
      <c r="BL344" s="282" t="str">
        <f t="shared" si="98"/>
        <v>nincs</v>
      </c>
      <c r="BM344" s="313" t="s">
        <v>84</v>
      </c>
      <c r="BN344" s="282" t="str">
        <f t="shared" si="69"/>
        <v>nincs</v>
      </c>
      <c r="BO344" s="313" t="s">
        <v>84</v>
      </c>
      <c r="BP344" s="282" t="str">
        <f t="shared" si="107"/>
        <v>nincs</v>
      </c>
      <c r="BQ344" s="313" t="s">
        <v>84</v>
      </c>
      <c r="BR344" s="282" t="str">
        <f t="shared" si="24"/>
        <v>nincs</v>
      </c>
      <c r="BS344" s="313" t="s">
        <v>84</v>
      </c>
      <c r="BT344" s="282" t="str">
        <f t="shared" si="25"/>
        <v>nincs</v>
      </c>
      <c r="BU344" s="313" t="s">
        <v>84</v>
      </c>
      <c r="BV344" s="282" t="str">
        <f t="shared" si="26"/>
        <v>nincs</v>
      </c>
      <c r="BW344" s="313" t="s">
        <v>84</v>
      </c>
      <c r="BX344" s="282" t="str">
        <f t="shared" si="27"/>
        <v>nincs</v>
      </c>
      <c r="BZ344" s="313" t="s">
        <v>84</v>
      </c>
      <c r="CA344" s="282" t="str">
        <f t="shared" si="87"/>
        <v>nincs</v>
      </c>
      <c r="CB344" s="313" t="s">
        <v>84</v>
      </c>
      <c r="CC344" s="282" t="str">
        <f t="shared" si="88"/>
        <v>nincs</v>
      </c>
      <c r="CD344" s="313" t="s">
        <v>84</v>
      </c>
      <c r="CE344" s="282" t="str">
        <f t="shared" si="89"/>
        <v>nincs</v>
      </c>
      <c r="CF344" s="313" t="s">
        <v>84</v>
      </c>
      <c r="CG344" s="282" t="str">
        <f t="shared" si="90"/>
        <v>nincs</v>
      </c>
      <c r="CH344" s="313" t="s">
        <v>84</v>
      </c>
      <c r="CI344" s="282" t="str">
        <f t="shared" si="91"/>
        <v>nincs</v>
      </c>
      <c r="CJ344" s="313" t="s">
        <v>84</v>
      </c>
      <c r="CK344" s="282" t="str">
        <f t="shared" si="92"/>
        <v>nincs</v>
      </c>
      <c r="CL344" s="313" t="s">
        <v>84</v>
      </c>
      <c r="CM344" s="282" t="str">
        <f t="shared" si="93"/>
        <v>nincs</v>
      </c>
      <c r="CN344" s="313" t="s">
        <v>84</v>
      </c>
      <c r="CO344" s="282" t="str">
        <f t="shared" si="94"/>
        <v>nincs</v>
      </c>
      <c r="CP344" s="313" t="s">
        <v>84</v>
      </c>
      <c r="CQ344" s="282" t="str">
        <f t="shared" si="95"/>
        <v>nincs</v>
      </c>
    </row>
    <row r="345" spans="1:95" s="56" customFormat="1" x14ac:dyDescent="0.3">
      <c r="A345" s="68">
        <v>58</v>
      </c>
      <c r="B345" s="71" t="s">
        <v>38</v>
      </c>
      <c r="C345" s="199" t="s">
        <v>84</v>
      </c>
      <c r="D345" s="199" t="s">
        <v>84</v>
      </c>
      <c r="E345" s="199" t="s">
        <v>84</v>
      </c>
      <c r="F345" s="199" t="s">
        <v>84</v>
      </c>
      <c r="G345" s="112">
        <f t="shared" si="104"/>
        <v>77100</v>
      </c>
      <c r="H345" s="255">
        <v>906300</v>
      </c>
      <c r="I345" s="255">
        <v>698700</v>
      </c>
      <c r="J345" s="255">
        <v>807300</v>
      </c>
      <c r="K345" s="280">
        <v>622300</v>
      </c>
      <c r="L345" s="280">
        <v>731000</v>
      </c>
      <c r="M345" s="280">
        <v>622300</v>
      </c>
      <c r="N345" s="280">
        <f t="shared" si="38"/>
        <v>731000</v>
      </c>
      <c r="O345" s="280">
        <v>791200</v>
      </c>
      <c r="P345" s="255">
        <v>733800</v>
      </c>
      <c r="Q345" s="255">
        <v>842500</v>
      </c>
      <c r="R345" s="255" t="s">
        <v>84</v>
      </c>
      <c r="S345" s="193" t="s">
        <v>570</v>
      </c>
      <c r="T345" s="193" t="s">
        <v>61</v>
      </c>
      <c r="U345" s="192">
        <v>3200</v>
      </c>
      <c r="V345" s="192">
        <v>1</v>
      </c>
      <c r="W345" s="217">
        <f>AM345</f>
        <v>166300</v>
      </c>
      <c r="X345" s="192">
        <v>4750</v>
      </c>
      <c r="Y345" s="192">
        <v>2125</v>
      </c>
      <c r="Z345" s="193" t="s">
        <v>90</v>
      </c>
      <c r="AA345" s="193">
        <v>210</v>
      </c>
      <c r="AB345" s="193">
        <v>210</v>
      </c>
      <c r="AC345" s="217">
        <f t="shared" si="41"/>
        <v>84500</v>
      </c>
      <c r="AD345" s="192">
        <v>0</v>
      </c>
      <c r="AE345" s="197" t="s">
        <v>84</v>
      </c>
      <c r="AF345" s="217">
        <v>0</v>
      </c>
      <c r="AG345" s="281">
        <f t="shared" ca="1" si="106"/>
        <v>450300</v>
      </c>
      <c r="AH345" s="224">
        <f t="shared" ca="1" si="85"/>
        <v>523666.52380952379</v>
      </c>
      <c r="AI345" s="216">
        <f t="shared" si="86"/>
        <v>182700</v>
      </c>
      <c r="AJ345" s="198">
        <v>7</v>
      </c>
      <c r="AK345" s="198" t="s">
        <v>244</v>
      </c>
      <c r="AL345" s="198" t="s">
        <v>244</v>
      </c>
      <c r="AM345" s="216">
        <f t="shared" si="103"/>
        <v>166300</v>
      </c>
      <c r="AN345" s="230" t="str">
        <f t="shared" ca="1" si="43"/>
        <v>nincs</v>
      </c>
      <c r="AO345" s="230" t="str">
        <f t="shared" ca="1" si="44"/>
        <v>nincs</v>
      </c>
      <c r="AP345" s="230" t="str">
        <f t="shared" ca="1" si="45"/>
        <v>nincs</v>
      </c>
      <c r="AQ345" s="230" t="str">
        <f t="shared" ca="1" si="46"/>
        <v>nincs</v>
      </c>
      <c r="AR345" s="230" t="str">
        <f t="shared" ca="1" si="47"/>
        <v>nincs</v>
      </c>
      <c r="AS345" s="230" t="str">
        <f t="shared" ca="1" si="48"/>
        <v>nincs</v>
      </c>
      <c r="AT345" s="230" t="str">
        <f t="shared" ca="1" si="49"/>
        <v>nincs</v>
      </c>
      <c r="AU345" s="230" t="str">
        <f t="shared" ca="1" si="50"/>
        <v>nincs</v>
      </c>
      <c r="AV345" s="230" t="str">
        <f t="shared" ca="1" si="51"/>
        <v>nincs</v>
      </c>
      <c r="AW345" s="230" t="str">
        <f t="shared" ca="1" si="52"/>
        <v>nincs</v>
      </c>
      <c r="AX345" s="230" t="str">
        <f t="shared" ca="1" si="53"/>
        <v>nincs</v>
      </c>
      <c r="AY345" s="230" t="str">
        <f t="shared" ca="1" si="54"/>
        <v>nincs</v>
      </c>
      <c r="AZ345" s="230" t="str">
        <f t="shared" ca="1" si="55"/>
        <v>nincs</v>
      </c>
      <c r="BA345" s="230" t="str">
        <f t="shared" ca="1" si="56"/>
        <v>nincs</v>
      </c>
      <c r="BB345" s="230" t="str">
        <f t="shared" ca="1" si="57"/>
        <v>nincs</v>
      </c>
      <c r="BC345" s="230" t="str">
        <f t="shared" ca="1" si="58"/>
        <v>nincs</v>
      </c>
      <c r="BD345" s="230" t="str">
        <f t="shared" ca="1" si="59"/>
        <v>nincs</v>
      </c>
      <c r="BE345" s="230" t="str">
        <f t="shared" ca="1" si="60"/>
        <v>nincs</v>
      </c>
      <c r="BG345" s="313" t="s">
        <v>84</v>
      </c>
      <c r="BH345" s="282" t="str">
        <f t="shared" si="96"/>
        <v>nincs</v>
      </c>
      <c r="BI345" s="313" t="s">
        <v>84</v>
      </c>
      <c r="BJ345" s="282" t="str">
        <f t="shared" si="97"/>
        <v>nincs</v>
      </c>
      <c r="BK345" s="313" t="s">
        <v>84</v>
      </c>
      <c r="BL345" s="282" t="str">
        <f t="shared" si="98"/>
        <v>nincs</v>
      </c>
      <c r="BM345" s="313" t="s">
        <v>84</v>
      </c>
      <c r="BN345" s="282" t="str">
        <f t="shared" si="69"/>
        <v>nincs</v>
      </c>
      <c r="BO345" s="313" t="s">
        <v>84</v>
      </c>
      <c r="BP345" s="282" t="str">
        <f t="shared" si="107"/>
        <v>nincs</v>
      </c>
      <c r="BQ345" s="313" t="s">
        <v>84</v>
      </c>
      <c r="BR345" s="282" t="str">
        <f t="shared" si="24"/>
        <v>nincs</v>
      </c>
      <c r="BS345" s="313" t="s">
        <v>84</v>
      </c>
      <c r="BT345" s="282" t="str">
        <f t="shared" si="25"/>
        <v>nincs</v>
      </c>
      <c r="BU345" s="313" t="s">
        <v>84</v>
      </c>
      <c r="BV345" s="282" t="str">
        <f t="shared" si="26"/>
        <v>nincs</v>
      </c>
      <c r="BW345" s="313" t="s">
        <v>84</v>
      </c>
      <c r="BX345" s="282" t="str">
        <f t="shared" si="27"/>
        <v>nincs</v>
      </c>
      <c r="BZ345" s="313" t="s">
        <v>84</v>
      </c>
      <c r="CA345" s="282" t="str">
        <f t="shared" si="87"/>
        <v>nincs</v>
      </c>
      <c r="CB345" s="313" t="s">
        <v>84</v>
      </c>
      <c r="CC345" s="282" t="str">
        <f t="shared" si="88"/>
        <v>nincs</v>
      </c>
      <c r="CD345" s="313" t="s">
        <v>84</v>
      </c>
      <c r="CE345" s="282" t="str">
        <f t="shared" si="89"/>
        <v>nincs</v>
      </c>
      <c r="CF345" s="313" t="s">
        <v>84</v>
      </c>
      <c r="CG345" s="282" t="str">
        <f t="shared" si="90"/>
        <v>nincs</v>
      </c>
      <c r="CH345" s="313" t="s">
        <v>84</v>
      </c>
      <c r="CI345" s="282" t="str">
        <f t="shared" si="91"/>
        <v>nincs</v>
      </c>
      <c r="CJ345" s="313" t="s">
        <v>84</v>
      </c>
      <c r="CK345" s="282" t="str">
        <f t="shared" si="92"/>
        <v>nincs</v>
      </c>
      <c r="CL345" s="313" t="s">
        <v>84</v>
      </c>
      <c r="CM345" s="282" t="str">
        <f t="shared" si="93"/>
        <v>nincs</v>
      </c>
      <c r="CN345" s="313" t="s">
        <v>84</v>
      </c>
      <c r="CO345" s="282" t="str">
        <f t="shared" si="94"/>
        <v>nincs</v>
      </c>
      <c r="CP345" s="313" t="s">
        <v>84</v>
      </c>
      <c r="CQ345" s="282" t="str">
        <f t="shared" si="95"/>
        <v>nincs</v>
      </c>
    </row>
    <row r="346" spans="1:95" s="56" customFormat="1" x14ac:dyDescent="0.3">
      <c r="A346" s="66">
        <v>59</v>
      </c>
      <c r="B346" s="71" t="s">
        <v>39</v>
      </c>
      <c r="C346" s="199" t="s">
        <v>84</v>
      </c>
      <c r="D346" s="199" t="s">
        <v>84</v>
      </c>
      <c r="E346" s="199" t="s">
        <v>84</v>
      </c>
      <c r="F346" s="199" t="s">
        <v>84</v>
      </c>
      <c r="G346" s="112">
        <f t="shared" si="104"/>
        <v>77100</v>
      </c>
      <c r="H346" s="255">
        <v>927000</v>
      </c>
      <c r="I346" s="255">
        <v>710500</v>
      </c>
      <c r="J346" s="255">
        <v>825500</v>
      </c>
      <c r="K346" s="280">
        <v>634100</v>
      </c>
      <c r="L346" s="280">
        <v>749200</v>
      </c>
      <c r="M346" s="280">
        <v>634100</v>
      </c>
      <c r="N346" s="280">
        <f t="shared" si="38"/>
        <v>749200</v>
      </c>
      <c r="O346" s="280">
        <v>813000</v>
      </c>
      <c r="P346" s="255">
        <v>755600</v>
      </c>
      <c r="Q346" s="255">
        <v>870600</v>
      </c>
      <c r="R346" s="255" t="s">
        <v>84</v>
      </c>
      <c r="S346" s="193" t="s">
        <v>570</v>
      </c>
      <c r="T346" s="193" t="s">
        <v>61</v>
      </c>
      <c r="U346" s="192">
        <v>3200</v>
      </c>
      <c r="V346" s="192">
        <v>1</v>
      </c>
      <c r="W346" s="217">
        <f>AM346</f>
        <v>166300</v>
      </c>
      <c r="X346" s="192">
        <v>4750</v>
      </c>
      <c r="Y346" s="192">
        <v>2250</v>
      </c>
      <c r="Z346" s="193" t="s">
        <v>90</v>
      </c>
      <c r="AA346" s="193">
        <v>210</v>
      </c>
      <c r="AB346" s="193">
        <v>210</v>
      </c>
      <c r="AC346" s="217">
        <f t="shared" si="41"/>
        <v>84500</v>
      </c>
      <c r="AD346" s="192">
        <v>0</v>
      </c>
      <c r="AE346" s="197" t="s">
        <v>84</v>
      </c>
      <c r="AF346" s="217">
        <v>0</v>
      </c>
      <c r="AG346" s="281">
        <f t="shared" ca="1" si="106"/>
        <v>450300</v>
      </c>
      <c r="AH346" s="224">
        <f t="shared" ca="1" si="85"/>
        <v>523666.52380952379</v>
      </c>
      <c r="AI346" s="216">
        <f t="shared" si="86"/>
        <v>182700</v>
      </c>
      <c r="AJ346" s="198">
        <v>7</v>
      </c>
      <c r="AK346" s="198" t="s">
        <v>244</v>
      </c>
      <c r="AL346" s="198" t="s">
        <v>244</v>
      </c>
      <c r="AM346" s="216">
        <f t="shared" si="103"/>
        <v>166300</v>
      </c>
      <c r="AN346" s="230" t="str">
        <f t="shared" ca="1" si="43"/>
        <v>nincs</v>
      </c>
      <c r="AO346" s="230" t="str">
        <f t="shared" ca="1" si="44"/>
        <v>nincs</v>
      </c>
      <c r="AP346" s="230" t="str">
        <f t="shared" ca="1" si="45"/>
        <v>nincs</v>
      </c>
      <c r="AQ346" s="230" t="str">
        <f t="shared" ca="1" si="46"/>
        <v>nincs</v>
      </c>
      <c r="AR346" s="230" t="str">
        <f t="shared" ca="1" si="47"/>
        <v>nincs</v>
      </c>
      <c r="AS346" s="230" t="str">
        <f t="shared" ca="1" si="48"/>
        <v>nincs</v>
      </c>
      <c r="AT346" s="230" t="str">
        <f t="shared" ca="1" si="49"/>
        <v>nincs</v>
      </c>
      <c r="AU346" s="230" t="str">
        <f t="shared" ca="1" si="50"/>
        <v>nincs</v>
      </c>
      <c r="AV346" s="230" t="str">
        <f t="shared" ca="1" si="51"/>
        <v>nincs</v>
      </c>
      <c r="AW346" s="230" t="str">
        <f t="shared" ca="1" si="52"/>
        <v>nincs</v>
      </c>
      <c r="AX346" s="230" t="str">
        <f t="shared" ca="1" si="53"/>
        <v>nincs</v>
      </c>
      <c r="AY346" s="230" t="str">
        <f t="shared" ca="1" si="54"/>
        <v>nincs</v>
      </c>
      <c r="AZ346" s="230" t="str">
        <f t="shared" ca="1" si="55"/>
        <v>nincs</v>
      </c>
      <c r="BA346" s="230" t="str">
        <f t="shared" ca="1" si="56"/>
        <v>nincs</v>
      </c>
      <c r="BB346" s="230" t="str">
        <f t="shared" ca="1" si="57"/>
        <v>nincs</v>
      </c>
      <c r="BC346" s="230" t="str">
        <f t="shared" ca="1" si="58"/>
        <v>nincs</v>
      </c>
      <c r="BD346" s="230" t="str">
        <f t="shared" ca="1" si="59"/>
        <v>nincs</v>
      </c>
      <c r="BE346" s="230" t="str">
        <f t="shared" ca="1" si="60"/>
        <v>nincs</v>
      </c>
      <c r="BG346" s="313" t="s">
        <v>84</v>
      </c>
      <c r="BH346" s="282" t="str">
        <f t="shared" si="96"/>
        <v>nincs</v>
      </c>
      <c r="BI346" s="313" t="s">
        <v>84</v>
      </c>
      <c r="BJ346" s="282" t="str">
        <f t="shared" si="97"/>
        <v>nincs</v>
      </c>
      <c r="BK346" s="313" t="s">
        <v>84</v>
      </c>
      <c r="BL346" s="282" t="str">
        <f t="shared" si="98"/>
        <v>nincs</v>
      </c>
      <c r="BM346" s="313" t="s">
        <v>84</v>
      </c>
      <c r="BN346" s="282" t="str">
        <f t="shared" si="69"/>
        <v>nincs</v>
      </c>
      <c r="BO346" s="313" t="s">
        <v>84</v>
      </c>
      <c r="BP346" s="282" t="str">
        <f t="shared" si="107"/>
        <v>nincs</v>
      </c>
      <c r="BQ346" s="313" t="s">
        <v>84</v>
      </c>
      <c r="BR346" s="282" t="str">
        <f t="shared" si="24"/>
        <v>nincs</v>
      </c>
      <c r="BS346" s="313" t="s">
        <v>84</v>
      </c>
      <c r="BT346" s="282" t="str">
        <f t="shared" si="25"/>
        <v>nincs</v>
      </c>
      <c r="BU346" s="313" t="s">
        <v>84</v>
      </c>
      <c r="BV346" s="282" t="str">
        <f t="shared" si="26"/>
        <v>nincs</v>
      </c>
      <c r="BW346" s="313" t="s">
        <v>84</v>
      </c>
      <c r="BX346" s="282" t="str">
        <f t="shared" si="27"/>
        <v>nincs</v>
      </c>
      <c r="BZ346" s="313" t="s">
        <v>84</v>
      </c>
      <c r="CA346" s="282" t="str">
        <f t="shared" si="87"/>
        <v>nincs</v>
      </c>
      <c r="CB346" s="313" t="s">
        <v>84</v>
      </c>
      <c r="CC346" s="282" t="str">
        <f t="shared" si="88"/>
        <v>nincs</v>
      </c>
      <c r="CD346" s="313" t="s">
        <v>84</v>
      </c>
      <c r="CE346" s="282" t="str">
        <f t="shared" si="89"/>
        <v>nincs</v>
      </c>
      <c r="CF346" s="313" t="s">
        <v>84</v>
      </c>
      <c r="CG346" s="282" t="str">
        <f t="shared" si="90"/>
        <v>nincs</v>
      </c>
      <c r="CH346" s="313" t="s">
        <v>84</v>
      </c>
      <c r="CI346" s="282" t="str">
        <f t="shared" si="91"/>
        <v>nincs</v>
      </c>
      <c r="CJ346" s="313" t="s">
        <v>84</v>
      </c>
      <c r="CK346" s="282" t="str">
        <f t="shared" si="92"/>
        <v>nincs</v>
      </c>
      <c r="CL346" s="313" t="s">
        <v>84</v>
      </c>
      <c r="CM346" s="282" t="str">
        <f t="shared" si="93"/>
        <v>nincs</v>
      </c>
      <c r="CN346" s="313" t="s">
        <v>84</v>
      </c>
      <c r="CO346" s="282" t="str">
        <f t="shared" si="94"/>
        <v>nincs</v>
      </c>
      <c r="CP346" s="313" t="s">
        <v>84</v>
      </c>
      <c r="CQ346" s="282" t="str">
        <f t="shared" si="95"/>
        <v>nincs</v>
      </c>
    </row>
    <row r="347" spans="1:95" s="56" customFormat="1" x14ac:dyDescent="0.3">
      <c r="A347" s="68">
        <v>60</v>
      </c>
      <c r="B347" s="341" t="s">
        <v>669</v>
      </c>
      <c r="C347" s="199" t="s">
        <v>84</v>
      </c>
      <c r="D347" s="199" t="s">
        <v>84</v>
      </c>
      <c r="E347" s="199" t="s">
        <v>84</v>
      </c>
      <c r="F347" s="199" t="s">
        <v>84</v>
      </c>
      <c r="G347" s="112">
        <f t="shared" si="104"/>
        <v>77100</v>
      </c>
      <c r="H347" s="255">
        <v>921400</v>
      </c>
      <c r="I347" s="255">
        <v>699400</v>
      </c>
      <c r="J347" s="255">
        <v>807100</v>
      </c>
      <c r="K347" s="280">
        <v>623100</v>
      </c>
      <c r="L347" s="280">
        <v>730700</v>
      </c>
      <c r="M347" s="280">
        <v>623100</v>
      </c>
      <c r="N347" s="280">
        <f t="shared" si="38"/>
        <v>730700</v>
      </c>
      <c r="O347" s="280">
        <v>796800</v>
      </c>
      <c r="P347" s="255">
        <v>732800</v>
      </c>
      <c r="Q347" s="255">
        <v>840400</v>
      </c>
      <c r="R347" s="255" t="s">
        <v>84</v>
      </c>
      <c r="S347" s="192" t="s">
        <v>89</v>
      </c>
      <c r="T347" s="193" t="s">
        <v>61</v>
      </c>
      <c r="U347" s="192">
        <v>3200</v>
      </c>
      <c r="V347" s="192">
        <v>1</v>
      </c>
      <c r="W347" s="217">
        <f>AL347</f>
        <v>123200</v>
      </c>
      <c r="X347" s="192">
        <v>5000</v>
      </c>
      <c r="Y347" s="192">
        <v>2000</v>
      </c>
      <c r="Z347" s="193" t="s">
        <v>90</v>
      </c>
      <c r="AA347" s="193">
        <v>210</v>
      </c>
      <c r="AB347" s="193">
        <v>210</v>
      </c>
      <c r="AC347" s="217">
        <f t="shared" si="41"/>
        <v>84500</v>
      </c>
      <c r="AD347" s="192">
        <v>0</v>
      </c>
      <c r="AE347" s="197" t="s">
        <v>84</v>
      </c>
      <c r="AF347" s="216">
        <f>$F$135-$F$134</f>
        <v>43100</v>
      </c>
      <c r="AG347" s="281">
        <f t="shared" ca="1" si="106"/>
        <v>450300</v>
      </c>
      <c r="AH347" s="224">
        <f t="shared" ca="1" si="85"/>
        <v>523666.52380952379</v>
      </c>
      <c r="AI347" s="216">
        <f t="shared" si="86"/>
        <v>208800</v>
      </c>
      <c r="AJ347" s="198">
        <v>8</v>
      </c>
      <c r="AK347" s="198" t="s">
        <v>244</v>
      </c>
      <c r="AL347" s="216">
        <f>$J$134</f>
        <v>123200</v>
      </c>
      <c r="AM347" s="216">
        <f t="shared" si="103"/>
        <v>166300</v>
      </c>
      <c r="AN347" s="230" t="str">
        <f t="shared" ca="1" si="43"/>
        <v>nincs</v>
      </c>
      <c r="AO347" s="230" t="str">
        <f t="shared" ca="1" si="44"/>
        <v>nincs</v>
      </c>
      <c r="AP347" s="230" t="str">
        <f t="shared" ca="1" si="45"/>
        <v>nincs</v>
      </c>
      <c r="AQ347" s="230" t="str">
        <f t="shared" ca="1" si="46"/>
        <v>nincs</v>
      </c>
      <c r="AR347" s="230">
        <f t="shared" ca="1" si="47"/>
        <v>626900</v>
      </c>
      <c r="AS347" s="230">
        <f t="shared" ca="1" si="48"/>
        <v>493622</v>
      </c>
      <c r="AT347" s="230">
        <f t="shared" ca="1" si="49"/>
        <v>740700</v>
      </c>
      <c r="AU347" s="230">
        <f t="shared" ca="1" si="50"/>
        <v>583228</v>
      </c>
      <c r="AV347" s="230">
        <f t="shared" ca="1" si="51"/>
        <v>685400</v>
      </c>
      <c r="AW347" s="230">
        <f t="shared" ca="1" si="52"/>
        <v>539685</v>
      </c>
      <c r="AX347" s="230">
        <f t="shared" ca="1" si="53"/>
        <v>799200</v>
      </c>
      <c r="AY347" s="230">
        <f t="shared" ca="1" si="54"/>
        <v>629291</v>
      </c>
      <c r="AZ347" s="230" t="str">
        <f t="shared" ca="1" si="55"/>
        <v>nincs</v>
      </c>
      <c r="BA347" s="230" t="str">
        <f t="shared" ca="1" si="56"/>
        <v>nincs</v>
      </c>
      <c r="BB347" s="230">
        <f t="shared" ca="1" si="57"/>
        <v>654200</v>
      </c>
      <c r="BC347" s="230">
        <f t="shared" ca="1" si="58"/>
        <v>515118</v>
      </c>
      <c r="BD347" s="230">
        <f t="shared" ca="1" si="59"/>
        <v>712700</v>
      </c>
      <c r="BE347" s="230">
        <f t="shared" ca="1" si="60"/>
        <v>561181</v>
      </c>
      <c r="BG347" s="313" t="s">
        <v>84</v>
      </c>
      <c r="BH347" s="282" t="str">
        <f t="shared" si="96"/>
        <v>nincs</v>
      </c>
      <c r="BI347" s="313" t="s">
        <v>84</v>
      </c>
      <c r="BJ347" s="282" t="str">
        <f t="shared" si="97"/>
        <v>nincs</v>
      </c>
      <c r="BK347" s="313" t="s">
        <v>84</v>
      </c>
      <c r="BL347" s="282" t="str">
        <f t="shared" si="98"/>
        <v>nincs</v>
      </c>
      <c r="BM347" s="313" t="s">
        <v>84</v>
      </c>
      <c r="BN347" s="282" t="str">
        <f t="shared" si="69"/>
        <v>nincs</v>
      </c>
      <c r="BO347" s="313" t="s">
        <v>84</v>
      </c>
      <c r="BP347" s="282" t="str">
        <f t="shared" si="107"/>
        <v>nincs</v>
      </c>
      <c r="BQ347" s="313" t="s">
        <v>84</v>
      </c>
      <c r="BR347" s="282" t="str">
        <f t="shared" si="24"/>
        <v>nincs</v>
      </c>
      <c r="BS347" s="313" t="s">
        <v>84</v>
      </c>
      <c r="BT347" s="282" t="str">
        <f t="shared" si="25"/>
        <v>nincs</v>
      </c>
      <c r="BU347" s="313" t="s">
        <v>84</v>
      </c>
      <c r="BV347" s="282" t="str">
        <f t="shared" si="26"/>
        <v>nincs</v>
      </c>
      <c r="BW347" s="313" t="s">
        <v>84</v>
      </c>
      <c r="BX347" s="282" t="str">
        <f t="shared" si="27"/>
        <v>nincs</v>
      </c>
      <c r="BZ347" s="313" t="s">
        <v>84</v>
      </c>
      <c r="CA347" s="282" t="str">
        <f t="shared" si="87"/>
        <v>nincs</v>
      </c>
      <c r="CB347" s="313" t="s">
        <v>84</v>
      </c>
      <c r="CC347" s="282" t="str">
        <f t="shared" si="88"/>
        <v>nincs</v>
      </c>
      <c r="CD347" s="339">
        <v>626900</v>
      </c>
      <c r="CE347" s="282">
        <f t="shared" si="89"/>
        <v>493622</v>
      </c>
      <c r="CF347" s="339">
        <v>740700</v>
      </c>
      <c r="CG347" s="282">
        <f t="shared" si="90"/>
        <v>583228</v>
      </c>
      <c r="CH347" s="339">
        <v>685400</v>
      </c>
      <c r="CI347" s="282">
        <f t="shared" si="91"/>
        <v>539685</v>
      </c>
      <c r="CJ347" s="339">
        <v>799200</v>
      </c>
      <c r="CK347" s="282">
        <f t="shared" si="92"/>
        <v>629291</v>
      </c>
      <c r="CL347" s="313" t="s">
        <v>84</v>
      </c>
      <c r="CM347" s="282" t="str">
        <f t="shared" si="93"/>
        <v>nincs</v>
      </c>
      <c r="CN347" s="339">
        <v>654200</v>
      </c>
      <c r="CO347" s="282">
        <f t="shared" si="94"/>
        <v>515118</v>
      </c>
      <c r="CP347" s="339">
        <v>712700</v>
      </c>
      <c r="CQ347" s="282">
        <f t="shared" si="95"/>
        <v>561181</v>
      </c>
    </row>
    <row r="348" spans="1:95" s="56" customFormat="1" x14ac:dyDescent="0.3">
      <c r="A348" s="66">
        <v>61</v>
      </c>
      <c r="B348" s="71" t="s">
        <v>467</v>
      </c>
      <c r="C348" s="199" t="s">
        <v>84</v>
      </c>
      <c r="D348" s="199" t="s">
        <v>84</v>
      </c>
      <c r="E348" s="199" t="s">
        <v>84</v>
      </c>
      <c r="F348" s="199" t="s">
        <v>84</v>
      </c>
      <c r="G348" s="112">
        <f t="shared" si="104"/>
        <v>77100</v>
      </c>
      <c r="H348" s="255">
        <v>940900</v>
      </c>
      <c r="I348" s="255">
        <v>713800</v>
      </c>
      <c r="J348" s="255">
        <v>828100</v>
      </c>
      <c r="K348" s="280">
        <v>635600</v>
      </c>
      <c r="L348" s="280">
        <v>749900</v>
      </c>
      <c r="M348" s="280">
        <v>635600</v>
      </c>
      <c r="N348" s="280">
        <f t="shared" si="38"/>
        <v>749900</v>
      </c>
      <c r="O348" s="280">
        <v>818100</v>
      </c>
      <c r="P348" s="255">
        <v>749700</v>
      </c>
      <c r="Q348" s="255">
        <v>864000</v>
      </c>
      <c r="R348" s="255" t="s">
        <v>84</v>
      </c>
      <c r="S348" s="193" t="s">
        <v>570</v>
      </c>
      <c r="T348" s="193" t="s">
        <v>61</v>
      </c>
      <c r="U348" s="192">
        <v>3200</v>
      </c>
      <c r="V348" s="192">
        <v>1</v>
      </c>
      <c r="W348" s="217">
        <f t="shared" ref="W348:W357" si="108">AM348</f>
        <v>166300</v>
      </c>
      <c r="X348" s="192">
        <v>5000</v>
      </c>
      <c r="Y348" s="192">
        <v>2125</v>
      </c>
      <c r="Z348" s="193" t="s">
        <v>90</v>
      </c>
      <c r="AA348" s="193">
        <v>210</v>
      </c>
      <c r="AB348" s="193">
        <v>210</v>
      </c>
      <c r="AC348" s="217">
        <f>AC347</f>
        <v>84500</v>
      </c>
      <c r="AD348" s="192">
        <v>0</v>
      </c>
      <c r="AE348" s="197" t="s">
        <v>84</v>
      </c>
      <c r="AF348" s="216">
        <v>0</v>
      </c>
      <c r="AG348" s="281">
        <f t="shared" ca="1" si="106"/>
        <v>450300</v>
      </c>
      <c r="AH348" s="224">
        <f t="shared" ca="1" si="85"/>
        <v>523666.52380952379</v>
      </c>
      <c r="AI348" s="216">
        <f t="shared" si="86"/>
        <v>208800</v>
      </c>
      <c r="AJ348" s="198">
        <v>8</v>
      </c>
      <c r="AK348" s="198" t="s">
        <v>244</v>
      </c>
      <c r="AL348" s="198" t="s">
        <v>244</v>
      </c>
      <c r="AM348" s="216">
        <f t="shared" si="103"/>
        <v>166300</v>
      </c>
      <c r="AN348" s="230" t="str">
        <f t="shared" ca="1" si="43"/>
        <v>nincs</v>
      </c>
      <c r="AO348" s="230" t="str">
        <f t="shared" ca="1" si="44"/>
        <v>nincs</v>
      </c>
      <c r="AP348" s="230" t="str">
        <f t="shared" ca="1" si="45"/>
        <v>nincs</v>
      </c>
      <c r="AQ348" s="230" t="str">
        <f t="shared" ca="1" si="46"/>
        <v>nincs</v>
      </c>
      <c r="AR348" s="230">
        <f t="shared" ca="1" si="47"/>
        <v>639100</v>
      </c>
      <c r="AS348" s="230">
        <f t="shared" ca="1" si="48"/>
        <v>503228</v>
      </c>
      <c r="AT348" s="230">
        <f t="shared" ca="1" si="49"/>
        <v>755500</v>
      </c>
      <c r="AU348" s="230">
        <f t="shared" ca="1" si="50"/>
        <v>594882</v>
      </c>
      <c r="AV348" s="230">
        <f t="shared" ca="1" si="51"/>
        <v>697600</v>
      </c>
      <c r="AW348" s="230">
        <f t="shared" ca="1" si="52"/>
        <v>549291</v>
      </c>
      <c r="AX348" s="230">
        <f t="shared" ca="1" si="53"/>
        <v>814100</v>
      </c>
      <c r="AY348" s="230">
        <f t="shared" ca="1" si="54"/>
        <v>641024</v>
      </c>
      <c r="AZ348" s="230" t="str">
        <f t="shared" ca="1" si="55"/>
        <v>nincs</v>
      </c>
      <c r="BA348" s="230" t="str">
        <f t="shared" ca="1" si="56"/>
        <v>nincs</v>
      </c>
      <c r="BB348" s="230">
        <f t="shared" ca="1" si="57"/>
        <v>666400</v>
      </c>
      <c r="BC348" s="230">
        <f t="shared" ca="1" si="58"/>
        <v>524724</v>
      </c>
      <c r="BD348" s="230">
        <f t="shared" ca="1" si="59"/>
        <v>724900</v>
      </c>
      <c r="BE348" s="230">
        <f t="shared" ca="1" si="60"/>
        <v>570787</v>
      </c>
      <c r="BG348" s="313" t="s">
        <v>84</v>
      </c>
      <c r="BH348" s="282" t="str">
        <f t="shared" si="96"/>
        <v>nincs</v>
      </c>
      <c r="BI348" s="313" t="s">
        <v>84</v>
      </c>
      <c r="BJ348" s="282" t="str">
        <f t="shared" si="97"/>
        <v>nincs</v>
      </c>
      <c r="BK348" s="313">
        <v>609000</v>
      </c>
      <c r="BL348" s="282">
        <f t="shared" si="98"/>
        <v>479528</v>
      </c>
      <c r="BM348" s="313">
        <v>729400</v>
      </c>
      <c r="BN348" s="282">
        <f t="shared" si="69"/>
        <v>574331</v>
      </c>
      <c r="BO348" s="313">
        <v>664700</v>
      </c>
      <c r="BP348" s="282">
        <f t="shared" si="107"/>
        <v>523386</v>
      </c>
      <c r="BQ348" s="313">
        <v>775700</v>
      </c>
      <c r="BR348" s="282">
        <f t="shared" si="24"/>
        <v>610787</v>
      </c>
      <c r="BS348" s="313" t="s">
        <v>84</v>
      </c>
      <c r="BT348" s="282" t="str">
        <f t="shared" si="25"/>
        <v>nincs</v>
      </c>
      <c r="BU348" s="313">
        <v>634900</v>
      </c>
      <c r="BV348" s="282">
        <f t="shared" si="26"/>
        <v>499921</v>
      </c>
      <c r="BW348" s="313">
        <v>690600</v>
      </c>
      <c r="BX348" s="282">
        <f t="shared" si="27"/>
        <v>543780</v>
      </c>
      <c r="BZ348" s="313" t="s">
        <v>84</v>
      </c>
      <c r="CA348" s="282" t="str">
        <f t="shared" si="87"/>
        <v>nincs</v>
      </c>
      <c r="CB348" s="313" t="s">
        <v>84</v>
      </c>
      <c r="CC348" s="282" t="str">
        <f t="shared" si="88"/>
        <v>nincs</v>
      </c>
      <c r="CD348" s="313">
        <v>639100</v>
      </c>
      <c r="CE348" s="282">
        <f t="shared" si="89"/>
        <v>503228</v>
      </c>
      <c r="CF348" s="313">
        <v>755500</v>
      </c>
      <c r="CG348" s="282">
        <f t="shared" si="90"/>
        <v>594882</v>
      </c>
      <c r="CH348" s="313">
        <v>697600</v>
      </c>
      <c r="CI348" s="282">
        <f t="shared" si="91"/>
        <v>549291</v>
      </c>
      <c r="CJ348" s="313">
        <v>814100</v>
      </c>
      <c r="CK348" s="282">
        <f t="shared" si="92"/>
        <v>641024</v>
      </c>
      <c r="CL348" s="313" t="s">
        <v>84</v>
      </c>
      <c r="CM348" s="282" t="str">
        <f t="shared" si="93"/>
        <v>nincs</v>
      </c>
      <c r="CN348" s="313">
        <v>666400</v>
      </c>
      <c r="CO348" s="282">
        <f t="shared" si="94"/>
        <v>524724</v>
      </c>
      <c r="CP348" s="313">
        <v>724900</v>
      </c>
      <c r="CQ348" s="282">
        <f t="shared" si="95"/>
        <v>570787</v>
      </c>
    </row>
    <row r="349" spans="1:95" s="56" customFormat="1" x14ac:dyDescent="0.3">
      <c r="A349" s="68">
        <v>62</v>
      </c>
      <c r="B349" s="71" t="s">
        <v>468</v>
      </c>
      <c r="C349" s="199" t="s">
        <v>84</v>
      </c>
      <c r="D349" s="199" t="s">
        <v>84</v>
      </c>
      <c r="E349" s="199" t="s">
        <v>84</v>
      </c>
      <c r="F349" s="199" t="s">
        <v>84</v>
      </c>
      <c r="G349" s="112">
        <f t="shared" si="104"/>
        <v>77100</v>
      </c>
      <c r="H349" s="255">
        <v>961900</v>
      </c>
      <c r="I349" s="255">
        <v>727100</v>
      </c>
      <c r="J349" s="255">
        <v>848300</v>
      </c>
      <c r="K349" s="280">
        <v>647900</v>
      </c>
      <c r="L349" s="280">
        <v>769200</v>
      </c>
      <c r="M349" s="280">
        <v>647900</v>
      </c>
      <c r="N349" s="280">
        <f t="shared" si="38"/>
        <v>769200</v>
      </c>
      <c r="O349" s="280">
        <v>839100</v>
      </c>
      <c r="P349" s="255">
        <v>773300</v>
      </c>
      <c r="Q349" s="255">
        <v>894500</v>
      </c>
      <c r="R349" s="255" t="s">
        <v>84</v>
      </c>
      <c r="S349" s="193" t="s">
        <v>570</v>
      </c>
      <c r="T349" s="193" t="s">
        <v>61</v>
      </c>
      <c r="U349" s="192">
        <v>3200</v>
      </c>
      <c r="V349" s="192">
        <v>1</v>
      </c>
      <c r="W349" s="217">
        <f t="shared" si="108"/>
        <v>166300</v>
      </c>
      <c r="X349" s="192">
        <v>5000</v>
      </c>
      <c r="Y349" s="192">
        <v>2250</v>
      </c>
      <c r="Z349" s="193" t="s">
        <v>90</v>
      </c>
      <c r="AA349" s="193">
        <v>210</v>
      </c>
      <c r="AB349" s="193">
        <v>210</v>
      </c>
      <c r="AC349" s="217">
        <f t="shared" si="41"/>
        <v>84500</v>
      </c>
      <c r="AD349" s="192">
        <v>0</v>
      </c>
      <c r="AE349" s="197" t="s">
        <v>84</v>
      </c>
      <c r="AF349" s="216">
        <v>0</v>
      </c>
      <c r="AG349" s="281">
        <f t="shared" ca="1" si="106"/>
        <v>450300</v>
      </c>
      <c r="AH349" s="224">
        <f t="shared" ca="1" si="85"/>
        <v>523666.52380952379</v>
      </c>
      <c r="AI349" s="216">
        <f t="shared" si="86"/>
        <v>208800</v>
      </c>
      <c r="AJ349" s="198">
        <v>8</v>
      </c>
      <c r="AK349" s="198" t="s">
        <v>244</v>
      </c>
      <c r="AL349" s="198" t="s">
        <v>244</v>
      </c>
      <c r="AM349" s="216">
        <f t="shared" si="103"/>
        <v>166300</v>
      </c>
      <c r="AN349" s="230" t="str">
        <f t="shared" ca="1" si="43"/>
        <v>nincs</v>
      </c>
      <c r="AO349" s="230" t="str">
        <f t="shared" ca="1" si="44"/>
        <v>nincs</v>
      </c>
      <c r="AP349" s="230" t="str">
        <f t="shared" ca="1" si="45"/>
        <v>nincs</v>
      </c>
      <c r="AQ349" s="230" t="str">
        <f t="shared" ca="1" si="46"/>
        <v>nincs</v>
      </c>
      <c r="AR349" s="230">
        <f t="shared" ca="1" si="47"/>
        <v>648000</v>
      </c>
      <c r="AS349" s="230">
        <f t="shared" ca="1" si="48"/>
        <v>510236</v>
      </c>
      <c r="AT349" s="230">
        <f t="shared" ca="1" si="49"/>
        <v>765600</v>
      </c>
      <c r="AU349" s="230">
        <f t="shared" ca="1" si="50"/>
        <v>602835</v>
      </c>
      <c r="AV349" s="230">
        <f t="shared" ca="1" si="51"/>
        <v>706500</v>
      </c>
      <c r="AW349" s="230">
        <f t="shared" ca="1" si="52"/>
        <v>556299</v>
      </c>
      <c r="AX349" s="230">
        <f t="shared" ca="1" si="53"/>
        <v>824100</v>
      </c>
      <c r="AY349" s="230">
        <f t="shared" ca="1" si="54"/>
        <v>648898</v>
      </c>
      <c r="AZ349" s="230" t="str">
        <f t="shared" ca="1" si="55"/>
        <v>nincs</v>
      </c>
      <c r="BA349" s="230" t="str">
        <f t="shared" ca="1" si="56"/>
        <v>nincs</v>
      </c>
      <c r="BB349" s="230">
        <f t="shared" ca="1" si="57"/>
        <v>675300</v>
      </c>
      <c r="BC349" s="230">
        <f t="shared" ca="1" si="58"/>
        <v>531732</v>
      </c>
      <c r="BD349" s="230">
        <f t="shared" ca="1" si="59"/>
        <v>733800</v>
      </c>
      <c r="BE349" s="230">
        <f t="shared" ca="1" si="60"/>
        <v>577795</v>
      </c>
      <c r="BG349" s="313" t="s">
        <v>84</v>
      </c>
      <c r="BH349" s="282" t="str">
        <f t="shared" si="96"/>
        <v>nincs</v>
      </c>
      <c r="BI349" s="313" t="s">
        <v>84</v>
      </c>
      <c r="BJ349" s="282" t="str">
        <f t="shared" si="97"/>
        <v>nincs</v>
      </c>
      <c r="BK349" s="313">
        <v>617200</v>
      </c>
      <c r="BL349" s="282">
        <f t="shared" si="98"/>
        <v>485984</v>
      </c>
      <c r="BM349" s="313">
        <v>720000</v>
      </c>
      <c r="BN349" s="282">
        <f t="shared" si="69"/>
        <v>566929</v>
      </c>
      <c r="BO349" s="313">
        <v>673000</v>
      </c>
      <c r="BP349" s="282">
        <f t="shared" si="107"/>
        <v>529921</v>
      </c>
      <c r="BQ349" s="313">
        <v>785100</v>
      </c>
      <c r="BR349" s="282">
        <f t="shared" si="24"/>
        <v>618189</v>
      </c>
      <c r="BS349" s="313" t="s">
        <v>84</v>
      </c>
      <c r="BT349" s="282" t="str">
        <f t="shared" si="25"/>
        <v>nincs</v>
      </c>
      <c r="BU349" s="313">
        <v>643300</v>
      </c>
      <c r="BV349" s="282">
        <f t="shared" si="26"/>
        <v>506535</v>
      </c>
      <c r="BW349" s="313">
        <v>699000</v>
      </c>
      <c r="BX349" s="282">
        <f t="shared" si="27"/>
        <v>550394</v>
      </c>
      <c r="BZ349" s="313" t="s">
        <v>84</v>
      </c>
      <c r="CA349" s="282" t="str">
        <f t="shared" si="87"/>
        <v>nincs</v>
      </c>
      <c r="CB349" s="313" t="s">
        <v>84</v>
      </c>
      <c r="CC349" s="282" t="str">
        <f t="shared" si="88"/>
        <v>nincs</v>
      </c>
      <c r="CD349" s="313">
        <v>648000</v>
      </c>
      <c r="CE349" s="282">
        <f t="shared" si="89"/>
        <v>510236</v>
      </c>
      <c r="CF349" s="313">
        <v>765600</v>
      </c>
      <c r="CG349" s="282">
        <f t="shared" si="90"/>
        <v>602835</v>
      </c>
      <c r="CH349" s="313">
        <v>706500</v>
      </c>
      <c r="CI349" s="282">
        <f t="shared" si="91"/>
        <v>556299</v>
      </c>
      <c r="CJ349" s="313">
        <v>824100</v>
      </c>
      <c r="CK349" s="282">
        <f t="shared" si="92"/>
        <v>648898</v>
      </c>
      <c r="CL349" s="313" t="s">
        <v>84</v>
      </c>
      <c r="CM349" s="282" t="str">
        <f t="shared" si="93"/>
        <v>nincs</v>
      </c>
      <c r="CN349" s="313">
        <v>675300</v>
      </c>
      <c r="CO349" s="282">
        <f t="shared" si="94"/>
        <v>531732</v>
      </c>
      <c r="CP349" s="313">
        <v>733800</v>
      </c>
      <c r="CQ349" s="282">
        <f t="shared" si="95"/>
        <v>577795</v>
      </c>
    </row>
    <row r="350" spans="1:95" s="56" customFormat="1" ht="10.5" thickBot="1" x14ac:dyDescent="0.35">
      <c r="A350" s="66">
        <v>63</v>
      </c>
      <c r="B350" s="71" t="s">
        <v>394</v>
      </c>
      <c r="C350" s="199" t="s">
        <v>84</v>
      </c>
      <c r="D350" s="199" t="s">
        <v>84</v>
      </c>
      <c r="E350" s="199" t="s">
        <v>84</v>
      </c>
      <c r="F350" s="199" t="s">
        <v>84</v>
      </c>
      <c r="G350" s="112">
        <f t="shared" si="104"/>
        <v>77100</v>
      </c>
      <c r="H350" s="255">
        <v>983900</v>
      </c>
      <c r="I350" s="255">
        <v>741000</v>
      </c>
      <c r="J350" s="255">
        <v>868900</v>
      </c>
      <c r="K350" s="280">
        <v>661500</v>
      </c>
      <c r="L350" s="280">
        <v>789400</v>
      </c>
      <c r="M350" s="280">
        <v>661500</v>
      </c>
      <c r="N350" s="280">
        <f t="shared" si="38"/>
        <v>789400</v>
      </c>
      <c r="O350" s="280">
        <v>860400</v>
      </c>
      <c r="P350" s="255">
        <v>702000</v>
      </c>
      <c r="Q350" s="255">
        <v>929900</v>
      </c>
      <c r="R350" s="255" t="s">
        <v>84</v>
      </c>
      <c r="S350" s="193" t="s">
        <v>570</v>
      </c>
      <c r="T350" s="193" t="s">
        <v>62</v>
      </c>
      <c r="U350" s="193">
        <v>3450</v>
      </c>
      <c r="V350" s="192">
        <v>1</v>
      </c>
      <c r="W350" s="217">
        <f t="shared" si="108"/>
        <v>176400</v>
      </c>
      <c r="X350" s="192">
        <v>5000</v>
      </c>
      <c r="Y350" s="192">
        <v>2375</v>
      </c>
      <c r="Z350" s="193" t="s">
        <v>90</v>
      </c>
      <c r="AA350" s="193">
        <v>210</v>
      </c>
      <c r="AB350" s="193">
        <v>210</v>
      </c>
      <c r="AC350" s="217">
        <f t="shared" si="41"/>
        <v>84500</v>
      </c>
      <c r="AD350" s="192">
        <v>0</v>
      </c>
      <c r="AE350" s="197" t="s">
        <v>84</v>
      </c>
      <c r="AF350" s="216">
        <v>0</v>
      </c>
      <c r="AG350" s="281">
        <f t="shared" ca="1" si="106"/>
        <v>450300</v>
      </c>
      <c r="AH350" s="224">
        <f t="shared" ca="1" si="85"/>
        <v>523666.52380952379</v>
      </c>
      <c r="AI350" s="216">
        <f t="shared" si="86"/>
        <v>208800</v>
      </c>
      <c r="AJ350" s="198">
        <v>8</v>
      </c>
      <c r="AK350" s="198" t="s">
        <v>244</v>
      </c>
      <c r="AL350" s="198" t="s">
        <v>244</v>
      </c>
      <c r="AM350" s="216">
        <f>$J$138</f>
        <v>176400</v>
      </c>
      <c r="AN350" s="230" t="str">
        <f t="shared" ca="1" si="43"/>
        <v>nincs</v>
      </c>
      <c r="AO350" s="230" t="str">
        <f t="shared" ca="1" si="44"/>
        <v>nincs</v>
      </c>
      <c r="AP350" s="230" t="str">
        <f t="shared" ca="1" si="45"/>
        <v>nincs</v>
      </c>
      <c r="AQ350" s="230" t="str">
        <f t="shared" ca="1" si="46"/>
        <v>nincs</v>
      </c>
      <c r="AR350" s="230" t="str">
        <f t="shared" ca="1" si="47"/>
        <v>nincs</v>
      </c>
      <c r="AS350" s="230" t="str">
        <f t="shared" ca="1" si="48"/>
        <v>nincs</v>
      </c>
      <c r="AT350" s="230" t="str">
        <f t="shared" ca="1" si="49"/>
        <v>nincs</v>
      </c>
      <c r="AU350" s="230" t="str">
        <f t="shared" ca="1" si="50"/>
        <v>nincs</v>
      </c>
      <c r="AV350" s="230" t="str">
        <f t="shared" ca="1" si="51"/>
        <v>nincs</v>
      </c>
      <c r="AW350" s="230" t="str">
        <f t="shared" ca="1" si="52"/>
        <v>nincs</v>
      </c>
      <c r="AX350" s="230" t="str">
        <f t="shared" ca="1" si="53"/>
        <v>nincs</v>
      </c>
      <c r="AY350" s="230" t="str">
        <f t="shared" ca="1" si="54"/>
        <v>nincs</v>
      </c>
      <c r="AZ350" s="230" t="str">
        <f t="shared" ca="1" si="55"/>
        <v>nincs</v>
      </c>
      <c r="BA350" s="230" t="str">
        <f t="shared" ca="1" si="56"/>
        <v>nincs</v>
      </c>
      <c r="BB350" s="230" t="str">
        <f t="shared" ca="1" si="57"/>
        <v>nincs</v>
      </c>
      <c r="BC350" s="230" t="str">
        <f t="shared" ca="1" si="58"/>
        <v>nincs</v>
      </c>
      <c r="BD350" s="230" t="str">
        <f t="shared" ca="1" si="59"/>
        <v>nincs</v>
      </c>
      <c r="BE350" s="230" t="str">
        <f t="shared" ca="1" si="60"/>
        <v>nincs</v>
      </c>
      <c r="BG350" s="313" t="s">
        <v>84</v>
      </c>
      <c r="BH350" s="282" t="str">
        <f t="shared" si="96"/>
        <v>nincs</v>
      </c>
      <c r="BI350" s="313" t="s">
        <v>84</v>
      </c>
      <c r="BJ350" s="282" t="str">
        <f t="shared" si="97"/>
        <v>nincs</v>
      </c>
      <c r="BK350" s="313" t="s">
        <v>84</v>
      </c>
      <c r="BL350" s="282" t="str">
        <f t="shared" si="98"/>
        <v>nincs</v>
      </c>
      <c r="BM350" s="313" t="s">
        <v>84</v>
      </c>
      <c r="BN350" s="282" t="str">
        <f t="shared" si="69"/>
        <v>nincs</v>
      </c>
      <c r="BO350" s="313" t="s">
        <v>84</v>
      </c>
      <c r="BP350" s="282" t="str">
        <f>IF(BO350="nincs","nincs",ROUND(BO350/1.27,0))</f>
        <v>nincs</v>
      </c>
      <c r="BQ350" s="313" t="s">
        <v>84</v>
      </c>
      <c r="BR350" s="282" t="str">
        <f>IF(BQ350="nincs","nincs",ROUND(BQ350/1.27,0))</f>
        <v>nincs</v>
      </c>
      <c r="BS350" s="313" t="s">
        <v>84</v>
      </c>
      <c r="BT350" s="282" t="str">
        <f>IF(BS350="nincs","nincs",ROUND(BS350/1.27,0))</f>
        <v>nincs</v>
      </c>
      <c r="BU350" s="313" t="s">
        <v>84</v>
      </c>
      <c r="BV350" s="282" t="str">
        <f>IF(BU350="nincs","nincs",ROUND(BU350/1.27,0))</f>
        <v>nincs</v>
      </c>
      <c r="BW350" s="313" t="s">
        <v>84</v>
      </c>
      <c r="BX350" s="282" t="str">
        <f>IF(BW350="nincs","nincs",ROUND(BW350/1.27,0))</f>
        <v>nincs</v>
      </c>
      <c r="BZ350" s="337" t="s">
        <v>84</v>
      </c>
      <c r="CA350" s="338" t="str">
        <f t="shared" si="87"/>
        <v>nincs</v>
      </c>
      <c r="CB350" s="337" t="s">
        <v>84</v>
      </c>
      <c r="CC350" s="338" t="str">
        <f t="shared" si="88"/>
        <v>nincs</v>
      </c>
      <c r="CD350" s="337" t="s">
        <v>84</v>
      </c>
      <c r="CE350" s="338" t="str">
        <f t="shared" si="89"/>
        <v>nincs</v>
      </c>
      <c r="CF350" s="337" t="s">
        <v>84</v>
      </c>
      <c r="CG350" s="338" t="str">
        <f t="shared" si="90"/>
        <v>nincs</v>
      </c>
      <c r="CH350" s="337" t="s">
        <v>84</v>
      </c>
      <c r="CI350" s="338" t="str">
        <f t="shared" si="91"/>
        <v>nincs</v>
      </c>
      <c r="CJ350" s="337" t="s">
        <v>84</v>
      </c>
      <c r="CK350" s="338" t="str">
        <f t="shared" si="92"/>
        <v>nincs</v>
      </c>
      <c r="CL350" s="337" t="s">
        <v>84</v>
      </c>
      <c r="CM350" s="338" t="str">
        <f t="shared" si="93"/>
        <v>nincs</v>
      </c>
      <c r="CN350" s="337" t="s">
        <v>84</v>
      </c>
      <c r="CO350" s="338" t="str">
        <f t="shared" si="94"/>
        <v>nincs</v>
      </c>
      <c r="CP350" s="337" t="s">
        <v>84</v>
      </c>
      <c r="CQ350" s="338" t="str">
        <f t="shared" si="95"/>
        <v>nincs</v>
      </c>
    </row>
    <row r="351" spans="1:95" s="56" customFormat="1" ht="10.5" thickBot="1" x14ac:dyDescent="0.35">
      <c r="A351" s="68">
        <v>64</v>
      </c>
      <c r="B351" s="71" t="s">
        <v>466</v>
      </c>
      <c r="C351" s="199" t="s">
        <v>84</v>
      </c>
      <c r="D351" s="199" t="s">
        <v>84</v>
      </c>
      <c r="E351" s="199" t="s">
        <v>84</v>
      </c>
      <c r="F351" s="199" t="s">
        <v>84</v>
      </c>
      <c r="G351" s="112">
        <f t="shared" si="104"/>
        <v>77100</v>
      </c>
      <c r="H351" s="255">
        <v>1007000</v>
      </c>
      <c r="I351" s="255">
        <v>754500</v>
      </c>
      <c r="J351" s="255">
        <v>889100</v>
      </c>
      <c r="K351" s="280">
        <v>674600</v>
      </c>
      <c r="L351" s="280">
        <v>809100</v>
      </c>
      <c r="M351" s="280">
        <v>674600</v>
      </c>
      <c r="N351" s="280">
        <f t="shared" si="38"/>
        <v>809100</v>
      </c>
      <c r="O351" s="280">
        <v>881400</v>
      </c>
      <c r="P351" s="255">
        <v>799400</v>
      </c>
      <c r="Q351" s="255">
        <v>934000</v>
      </c>
      <c r="R351" s="255" t="s">
        <v>84</v>
      </c>
      <c r="S351" s="193" t="s">
        <v>570</v>
      </c>
      <c r="T351" s="193" t="s">
        <v>62</v>
      </c>
      <c r="U351" s="193">
        <v>3450</v>
      </c>
      <c r="V351" s="192">
        <v>1</v>
      </c>
      <c r="W351" s="217">
        <f t="shared" si="108"/>
        <v>176400</v>
      </c>
      <c r="X351" s="192">
        <v>5000</v>
      </c>
      <c r="Y351" s="192">
        <v>2500</v>
      </c>
      <c r="Z351" s="193" t="s">
        <v>90</v>
      </c>
      <c r="AA351" s="193">
        <v>210</v>
      </c>
      <c r="AB351" s="193">
        <v>210</v>
      </c>
      <c r="AC351" s="217">
        <f t="shared" si="41"/>
        <v>84500</v>
      </c>
      <c r="AD351" s="192">
        <v>0</v>
      </c>
      <c r="AE351" s="197" t="s">
        <v>84</v>
      </c>
      <c r="AF351" s="216">
        <v>0</v>
      </c>
      <c r="AG351" s="281">
        <f t="shared" ca="1" si="106"/>
        <v>450300</v>
      </c>
      <c r="AH351" s="224">
        <f t="shared" ca="1" si="85"/>
        <v>523666.52380952379</v>
      </c>
      <c r="AI351" s="216">
        <f t="shared" si="86"/>
        <v>208800</v>
      </c>
      <c r="AJ351" s="198">
        <v>8</v>
      </c>
      <c r="AK351" s="198" t="s">
        <v>244</v>
      </c>
      <c r="AL351" s="198" t="s">
        <v>244</v>
      </c>
      <c r="AM351" s="216">
        <f>$J$138</f>
        <v>176400</v>
      </c>
      <c r="AN351" s="230" t="str">
        <f t="shared" ca="1" si="43"/>
        <v>nincs</v>
      </c>
      <c r="AO351" s="230" t="str">
        <f t="shared" ca="1" si="44"/>
        <v>nincs</v>
      </c>
      <c r="AP351" s="230" t="str">
        <f t="shared" ca="1" si="45"/>
        <v>nincs</v>
      </c>
      <c r="AQ351" s="230" t="str">
        <f t="shared" ca="1" si="46"/>
        <v>nincs</v>
      </c>
      <c r="AR351" s="230" t="str">
        <f t="shared" ca="1" si="47"/>
        <v>nincs</v>
      </c>
      <c r="AS351" s="230" t="str">
        <f t="shared" ca="1" si="48"/>
        <v>nincs</v>
      </c>
      <c r="AT351" s="230" t="str">
        <f t="shared" ca="1" si="49"/>
        <v>nincs</v>
      </c>
      <c r="AU351" s="230" t="str">
        <f t="shared" ca="1" si="50"/>
        <v>nincs</v>
      </c>
      <c r="AV351" s="230">
        <f t="shared" ca="1" si="51"/>
        <v>779900</v>
      </c>
      <c r="AW351" s="230">
        <f t="shared" ca="1" si="52"/>
        <v>614094</v>
      </c>
      <c r="AX351" s="230">
        <f t="shared" ca="1" si="53"/>
        <v>914800</v>
      </c>
      <c r="AY351" s="230">
        <f t="shared" ca="1" si="54"/>
        <v>720315</v>
      </c>
      <c r="AZ351" s="230" t="str">
        <f t="shared" ca="1" si="55"/>
        <v>nincs</v>
      </c>
      <c r="BA351" s="230" t="str">
        <f t="shared" ca="1" si="56"/>
        <v>nincs</v>
      </c>
      <c r="BB351" s="230" t="str">
        <f t="shared" ca="1" si="57"/>
        <v>nincs</v>
      </c>
      <c r="BC351" s="230" t="str">
        <f t="shared" ca="1" si="58"/>
        <v>nincs</v>
      </c>
      <c r="BD351" s="230">
        <f t="shared" ca="1" si="59"/>
        <v>807200</v>
      </c>
      <c r="BE351" s="230">
        <f t="shared" ca="1" si="60"/>
        <v>635591</v>
      </c>
      <c r="BG351" s="314" t="s">
        <v>84</v>
      </c>
      <c r="BH351" s="283" t="str">
        <f t="shared" si="96"/>
        <v>nincs</v>
      </c>
      <c r="BI351" s="314" t="s">
        <v>84</v>
      </c>
      <c r="BJ351" s="283" t="str">
        <f t="shared" si="97"/>
        <v>nincs</v>
      </c>
      <c r="BK351" s="314" t="s">
        <v>84</v>
      </c>
      <c r="BL351" s="283" t="str">
        <f t="shared" si="98"/>
        <v>nincs</v>
      </c>
      <c r="BM351" s="314" t="s">
        <v>84</v>
      </c>
      <c r="BN351" s="283" t="str">
        <f t="shared" si="69"/>
        <v>nincs</v>
      </c>
      <c r="BO351" s="314">
        <v>743100</v>
      </c>
      <c r="BP351" s="283">
        <f>IF(BO351="nincs","nincs",ROUND(BO351/1.27,0))</f>
        <v>585118</v>
      </c>
      <c r="BQ351" s="314">
        <v>871500</v>
      </c>
      <c r="BR351" s="283">
        <f t="shared" ref="BR351:BR358" si="109">IF(BQ351="nincs","nincs",ROUND(BQ351/1.27,0))</f>
        <v>686220</v>
      </c>
      <c r="BS351" s="314" t="s">
        <v>84</v>
      </c>
      <c r="BT351" s="283" t="str">
        <f t="shared" ref="BT351:BT358" si="110">IF(BS351="nincs","nincs",ROUND(BS351/1.27,0))</f>
        <v>nincs</v>
      </c>
      <c r="BU351" s="314" t="s">
        <v>84</v>
      </c>
      <c r="BV351" s="283" t="str">
        <f t="shared" ref="BV351:BV358" si="111">IF(BU351="nincs","nincs",ROUND(BU351/1.27,0))</f>
        <v>nincs</v>
      </c>
      <c r="BW351" s="314">
        <v>769000</v>
      </c>
      <c r="BX351" s="283">
        <f t="shared" ref="BX351:BX358" si="112">IF(BW351="nincs","nincs",ROUND(BW351/1.27,0))</f>
        <v>605512</v>
      </c>
      <c r="BZ351" s="337" t="s">
        <v>84</v>
      </c>
      <c r="CA351" s="338" t="str">
        <f t="shared" si="87"/>
        <v>nincs</v>
      </c>
      <c r="CB351" s="337" t="s">
        <v>84</v>
      </c>
      <c r="CC351" s="338" t="str">
        <f t="shared" si="88"/>
        <v>nincs</v>
      </c>
      <c r="CD351" s="337" t="s">
        <v>84</v>
      </c>
      <c r="CE351" s="338" t="str">
        <f t="shared" si="89"/>
        <v>nincs</v>
      </c>
      <c r="CF351" s="337" t="s">
        <v>84</v>
      </c>
      <c r="CG351" s="338" t="str">
        <f t="shared" si="90"/>
        <v>nincs</v>
      </c>
      <c r="CH351" s="337">
        <v>779900</v>
      </c>
      <c r="CI351" s="338">
        <f t="shared" si="91"/>
        <v>614094</v>
      </c>
      <c r="CJ351" s="337">
        <v>914800</v>
      </c>
      <c r="CK351" s="338">
        <f t="shared" si="92"/>
        <v>720315</v>
      </c>
      <c r="CL351" s="337" t="s">
        <v>84</v>
      </c>
      <c r="CM351" s="338" t="str">
        <f t="shared" si="93"/>
        <v>nincs</v>
      </c>
      <c r="CN351" s="337" t="s">
        <v>84</v>
      </c>
      <c r="CO351" s="338" t="str">
        <f t="shared" si="94"/>
        <v>nincs</v>
      </c>
      <c r="CP351" s="337">
        <v>807200</v>
      </c>
      <c r="CQ351" s="338">
        <f t="shared" si="95"/>
        <v>635591</v>
      </c>
    </row>
    <row r="352" spans="1:95" s="56" customFormat="1" ht="10.5" thickBot="1" x14ac:dyDescent="0.35">
      <c r="A352" s="66">
        <v>65</v>
      </c>
      <c r="B352" s="71" t="s">
        <v>41</v>
      </c>
      <c r="C352" s="199" t="s">
        <v>84</v>
      </c>
      <c r="D352" s="199" t="s">
        <v>84</v>
      </c>
      <c r="E352" s="199" t="s">
        <v>84</v>
      </c>
      <c r="F352" s="199" t="s">
        <v>84</v>
      </c>
      <c r="G352" s="112">
        <f t="shared" si="104"/>
        <v>77100</v>
      </c>
      <c r="H352" s="255">
        <v>959300</v>
      </c>
      <c r="I352" s="255">
        <v>750700</v>
      </c>
      <c r="J352" s="255">
        <v>869100</v>
      </c>
      <c r="K352" s="280">
        <v>667700</v>
      </c>
      <c r="L352" s="280">
        <v>786100</v>
      </c>
      <c r="M352" s="280">
        <v>667700</v>
      </c>
      <c r="N352" s="280">
        <f t="shared" si="38"/>
        <v>786100</v>
      </c>
      <c r="O352" s="280">
        <v>862200</v>
      </c>
      <c r="P352" s="255">
        <v>793200</v>
      </c>
      <c r="Q352" s="255">
        <v>911700</v>
      </c>
      <c r="R352" s="255" t="s">
        <v>84</v>
      </c>
      <c r="S352" s="193" t="s">
        <v>570</v>
      </c>
      <c r="T352" s="193" t="s">
        <v>61</v>
      </c>
      <c r="U352" s="192">
        <v>3200</v>
      </c>
      <c r="V352" s="192">
        <v>1</v>
      </c>
      <c r="W352" s="217">
        <f t="shared" si="108"/>
        <v>166300</v>
      </c>
      <c r="X352" s="192">
        <v>5500</v>
      </c>
      <c r="Y352" s="192">
        <v>2000</v>
      </c>
      <c r="Z352" s="193" t="s">
        <v>90</v>
      </c>
      <c r="AA352" s="193">
        <v>210</v>
      </c>
      <c r="AB352" s="193">
        <v>210</v>
      </c>
      <c r="AC352" s="255">
        <f>70000*1.3</f>
        <v>91000</v>
      </c>
      <c r="AD352" s="192">
        <v>0</v>
      </c>
      <c r="AE352" s="197" t="s">
        <v>84</v>
      </c>
      <c r="AF352" s="216">
        <v>0</v>
      </c>
      <c r="AG352" s="192" t="s">
        <v>361</v>
      </c>
      <c r="AH352" s="192" t="s">
        <v>361</v>
      </c>
      <c r="AI352" s="216">
        <f t="shared" ref="AI352:AI357" si="113">AJ352*($C$184+IF($B$173=1,0,$C$185))</f>
        <v>208800</v>
      </c>
      <c r="AJ352" s="198">
        <v>8</v>
      </c>
      <c r="AK352" s="198" t="s">
        <v>244</v>
      </c>
      <c r="AL352" s="198" t="s">
        <v>244</v>
      </c>
      <c r="AM352" s="216">
        <f>$J$137</f>
        <v>166300</v>
      </c>
      <c r="AN352" s="230" t="str">
        <f t="shared" ca="1" si="43"/>
        <v>nincs</v>
      </c>
      <c r="AO352" s="230" t="str">
        <f t="shared" ca="1" si="44"/>
        <v>nincs</v>
      </c>
      <c r="AP352" s="230" t="str">
        <f t="shared" ca="1" si="45"/>
        <v>nincs</v>
      </c>
      <c r="AQ352" s="230" t="str">
        <f t="shared" ca="1" si="46"/>
        <v>nincs</v>
      </c>
      <c r="AR352" s="230" t="str">
        <f t="shared" ca="1" si="47"/>
        <v>nincs</v>
      </c>
      <c r="AS352" s="230" t="str">
        <f t="shared" ca="1" si="48"/>
        <v>nincs</v>
      </c>
      <c r="AT352" s="230" t="str">
        <f t="shared" ca="1" si="49"/>
        <v>nincs</v>
      </c>
      <c r="AU352" s="230" t="str">
        <f t="shared" ca="1" si="50"/>
        <v>nincs</v>
      </c>
      <c r="AV352" s="230" t="str">
        <f t="shared" ca="1" si="51"/>
        <v>nincs</v>
      </c>
      <c r="AW352" s="230" t="str">
        <f t="shared" ca="1" si="52"/>
        <v>nincs</v>
      </c>
      <c r="AX352" s="230" t="str">
        <f t="shared" ca="1" si="53"/>
        <v>nincs</v>
      </c>
      <c r="AY352" s="230" t="str">
        <f t="shared" ca="1" si="54"/>
        <v>nincs</v>
      </c>
      <c r="AZ352" s="230" t="str">
        <f t="shared" ca="1" si="55"/>
        <v>nincs</v>
      </c>
      <c r="BA352" s="230" t="str">
        <f t="shared" ca="1" si="56"/>
        <v>nincs</v>
      </c>
      <c r="BB352" s="230" t="str">
        <f t="shared" ca="1" si="57"/>
        <v>nincs</v>
      </c>
      <c r="BC352" s="230" t="str">
        <f t="shared" ca="1" si="58"/>
        <v>nincs</v>
      </c>
      <c r="BD352" s="230" t="str">
        <f t="shared" ca="1" si="59"/>
        <v>nincs</v>
      </c>
      <c r="BE352" s="230" t="str">
        <f t="shared" ca="1" si="60"/>
        <v>nincs</v>
      </c>
      <c r="BG352" s="313" t="s">
        <v>84</v>
      </c>
      <c r="BH352" s="282" t="str">
        <f t="shared" si="96"/>
        <v>nincs</v>
      </c>
      <c r="BI352" s="313" t="s">
        <v>84</v>
      </c>
      <c r="BJ352" s="282" t="str">
        <f t="shared" si="97"/>
        <v>nincs</v>
      </c>
      <c r="BK352" s="313" t="s">
        <v>84</v>
      </c>
      <c r="BL352" s="282" t="str">
        <f t="shared" si="98"/>
        <v>nincs</v>
      </c>
      <c r="BM352" s="313" t="s">
        <v>84</v>
      </c>
      <c r="BN352" s="282" t="str">
        <f t="shared" si="69"/>
        <v>nincs</v>
      </c>
      <c r="BO352" s="313" t="s">
        <v>84</v>
      </c>
      <c r="BP352" s="282" t="str">
        <f t="shared" ref="BP352:BP354" si="114">IF(BO352="nincs","nincs",ROUND(BO352/1.27,0))</f>
        <v>nincs</v>
      </c>
      <c r="BQ352" s="313" t="s">
        <v>84</v>
      </c>
      <c r="BR352" s="282" t="str">
        <f t="shared" si="109"/>
        <v>nincs</v>
      </c>
      <c r="BS352" s="313" t="s">
        <v>84</v>
      </c>
      <c r="BT352" s="282" t="str">
        <f t="shared" si="110"/>
        <v>nincs</v>
      </c>
      <c r="BU352" s="313" t="s">
        <v>84</v>
      </c>
      <c r="BV352" s="282" t="str">
        <f t="shared" si="111"/>
        <v>nincs</v>
      </c>
      <c r="BW352" s="313" t="s">
        <v>84</v>
      </c>
      <c r="BX352" s="282" t="str">
        <f t="shared" si="112"/>
        <v>nincs</v>
      </c>
      <c r="BZ352" s="313" t="s">
        <v>84</v>
      </c>
      <c r="CA352" s="282" t="str">
        <f t="shared" ref="CA352:CA358" si="115">IF(BZ352="nincs","nincs",ROUND(BZ352/1.27,0))</f>
        <v>nincs</v>
      </c>
      <c r="CB352" s="313" t="s">
        <v>84</v>
      </c>
      <c r="CC352" s="282" t="str">
        <f t="shared" ref="CC352:CC358" si="116">IF(CB352="nincs","nincs",ROUND(CB352/1.27,0))</f>
        <v>nincs</v>
      </c>
      <c r="CD352" s="313" t="s">
        <v>84</v>
      </c>
      <c r="CE352" s="282" t="str">
        <f t="shared" ref="CE352:CE358" si="117">IF(CD352="nincs","nincs",ROUND(CD352/1.27,0))</f>
        <v>nincs</v>
      </c>
      <c r="CF352" s="313" t="s">
        <v>84</v>
      </c>
      <c r="CG352" s="282" t="str">
        <f t="shared" ref="CG352:CG358" si="118">IF(CF352="nincs","nincs",ROUND(CF352/1.27,0))</f>
        <v>nincs</v>
      </c>
      <c r="CH352" s="313" t="s">
        <v>84</v>
      </c>
      <c r="CI352" s="282" t="str">
        <f t="shared" ref="CI352:CI358" si="119">IF(CH352="nincs","nincs",ROUND(CH352/1.27,0))</f>
        <v>nincs</v>
      </c>
      <c r="CJ352" s="313" t="s">
        <v>84</v>
      </c>
      <c r="CK352" s="282" t="str">
        <f t="shared" ref="CK352:CK358" si="120">IF(CJ352="nincs","nincs",ROUND(CJ352/1.27,0))</f>
        <v>nincs</v>
      </c>
      <c r="CL352" s="313" t="s">
        <v>84</v>
      </c>
      <c r="CM352" s="282" t="str">
        <f t="shared" ref="CM352:CM358" si="121">IF(CL352="nincs","nincs",ROUND(CL352/1.27,0))</f>
        <v>nincs</v>
      </c>
      <c r="CN352" s="313" t="s">
        <v>84</v>
      </c>
      <c r="CO352" s="282" t="str">
        <f t="shared" ref="CO352:CO358" si="122">IF(CN352="nincs","nincs",ROUND(CN352/1.27,0))</f>
        <v>nincs</v>
      </c>
      <c r="CP352" s="313" t="s">
        <v>84</v>
      </c>
      <c r="CQ352" s="282" t="str">
        <f t="shared" ref="CQ352:CQ358" si="123">IF(CP352="nincs","nincs",ROUND(CP352/1.27,0))</f>
        <v>nincs</v>
      </c>
    </row>
    <row r="353" spans="1:95" s="56" customFormat="1" ht="10.5" thickBot="1" x14ac:dyDescent="0.35">
      <c r="A353" s="68">
        <v>66</v>
      </c>
      <c r="B353" s="341" t="s">
        <v>670</v>
      </c>
      <c r="C353" s="199" t="s">
        <v>84</v>
      </c>
      <c r="D353" s="199" t="s">
        <v>84</v>
      </c>
      <c r="E353" s="199" t="s">
        <v>84</v>
      </c>
      <c r="F353" s="199" t="s">
        <v>84</v>
      </c>
      <c r="G353" s="112">
        <f t="shared" si="104"/>
        <v>77100</v>
      </c>
      <c r="H353" s="255">
        <v>978500</v>
      </c>
      <c r="I353" s="255">
        <v>770700</v>
      </c>
      <c r="J353" s="255">
        <v>896500</v>
      </c>
      <c r="K353" s="280">
        <v>686100</v>
      </c>
      <c r="L353" s="280">
        <v>812000</v>
      </c>
      <c r="M353" s="280">
        <v>686100</v>
      </c>
      <c r="N353" s="280">
        <f t="shared" ref="N353:N357" si="124">L353</f>
        <v>812000</v>
      </c>
      <c r="O353" s="280">
        <v>885500</v>
      </c>
      <c r="P353" s="255">
        <v>827800</v>
      </c>
      <c r="Q353" s="255">
        <v>953700</v>
      </c>
      <c r="R353" s="255" t="s">
        <v>84</v>
      </c>
      <c r="S353" s="193" t="s">
        <v>570</v>
      </c>
      <c r="T353" s="193" t="s">
        <v>61</v>
      </c>
      <c r="U353" s="192">
        <v>3200</v>
      </c>
      <c r="V353" s="192">
        <v>1</v>
      </c>
      <c r="W353" s="217">
        <f t="shared" si="108"/>
        <v>166300</v>
      </c>
      <c r="X353" s="192">
        <v>5500</v>
      </c>
      <c r="Y353" s="192">
        <v>2125</v>
      </c>
      <c r="Z353" s="193" t="s">
        <v>90</v>
      </c>
      <c r="AA353" s="193">
        <v>210</v>
      </c>
      <c r="AB353" s="193">
        <v>210</v>
      </c>
      <c r="AC353" s="217">
        <f t="shared" si="41"/>
        <v>91000</v>
      </c>
      <c r="AD353" s="192">
        <v>0</v>
      </c>
      <c r="AE353" s="197" t="s">
        <v>84</v>
      </c>
      <c r="AF353" s="216">
        <v>0</v>
      </c>
      <c r="AG353" s="192" t="s">
        <v>361</v>
      </c>
      <c r="AH353" s="192" t="s">
        <v>361</v>
      </c>
      <c r="AI353" s="216">
        <f t="shared" si="113"/>
        <v>208800</v>
      </c>
      <c r="AJ353" s="198">
        <v>8</v>
      </c>
      <c r="AK353" s="198" t="s">
        <v>244</v>
      </c>
      <c r="AL353" s="198" t="s">
        <v>244</v>
      </c>
      <c r="AM353" s="216">
        <f>$J$137</f>
        <v>166300</v>
      </c>
      <c r="AN353" s="230" t="str">
        <f t="shared" ca="1" si="43"/>
        <v>nincs</v>
      </c>
      <c r="AO353" s="230" t="str">
        <f t="shared" ca="1" si="44"/>
        <v>nincs</v>
      </c>
      <c r="AP353" s="230" t="str">
        <f t="shared" ca="1" si="45"/>
        <v>nincs</v>
      </c>
      <c r="AQ353" s="230" t="str">
        <f t="shared" ca="1" si="46"/>
        <v>nincs</v>
      </c>
      <c r="AR353" s="230" t="str">
        <f t="shared" ca="1" si="47"/>
        <v>nincs</v>
      </c>
      <c r="AS353" s="230" t="str">
        <f t="shared" ca="1" si="48"/>
        <v>nincs</v>
      </c>
      <c r="AT353" s="230" t="str">
        <f t="shared" ca="1" si="49"/>
        <v>nincs</v>
      </c>
      <c r="AU353" s="230" t="str">
        <f t="shared" ca="1" si="50"/>
        <v>nincs</v>
      </c>
      <c r="AV353" s="230">
        <f t="shared" ca="1" si="51"/>
        <v>730900</v>
      </c>
      <c r="AW353" s="230">
        <f t="shared" ca="1" si="52"/>
        <v>575512</v>
      </c>
      <c r="AX353" s="230" t="str">
        <f t="shared" ca="1" si="53"/>
        <v>nincs</v>
      </c>
      <c r="AY353" s="230" t="str">
        <f t="shared" ca="1" si="54"/>
        <v>nincs</v>
      </c>
      <c r="AZ353" s="230" t="str">
        <f t="shared" ca="1" si="55"/>
        <v>nincs</v>
      </c>
      <c r="BA353" s="230" t="str">
        <f t="shared" ca="1" si="56"/>
        <v>nincs</v>
      </c>
      <c r="BB353" s="230">
        <f t="shared" ca="1" si="57"/>
        <v>833000</v>
      </c>
      <c r="BC353" s="230">
        <f t="shared" ca="1" si="58"/>
        <v>655906</v>
      </c>
      <c r="BD353" s="230">
        <f t="shared" ca="1" si="59"/>
        <v>758000</v>
      </c>
      <c r="BE353" s="230">
        <f t="shared" ca="1" si="60"/>
        <v>596850</v>
      </c>
      <c r="BG353" s="313" t="s">
        <v>84</v>
      </c>
      <c r="BH353" s="282" t="str">
        <f t="shared" si="96"/>
        <v>nincs</v>
      </c>
      <c r="BI353" s="313" t="s">
        <v>84</v>
      </c>
      <c r="BJ353" s="282" t="str">
        <f t="shared" si="97"/>
        <v>nincs</v>
      </c>
      <c r="BK353" s="313" t="s">
        <v>84</v>
      </c>
      <c r="BL353" s="282" t="str">
        <f t="shared" si="98"/>
        <v>nincs</v>
      </c>
      <c r="BM353" s="313" t="s">
        <v>84</v>
      </c>
      <c r="BN353" s="282" t="str">
        <f t="shared" si="69"/>
        <v>nincs</v>
      </c>
      <c r="BO353" s="313" t="s">
        <v>84</v>
      </c>
      <c r="BP353" s="282" t="str">
        <f t="shared" si="114"/>
        <v>nincs</v>
      </c>
      <c r="BQ353" s="313" t="s">
        <v>84</v>
      </c>
      <c r="BR353" s="282" t="str">
        <f t="shared" si="109"/>
        <v>nincs</v>
      </c>
      <c r="BS353" s="313" t="s">
        <v>84</v>
      </c>
      <c r="BT353" s="282" t="str">
        <f t="shared" si="110"/>
        <v>nincs</v>
      </c>
      <c r="BU353" s="313" t="s">
        <v>84</v>
      </c>
      <c r="BV353" s="282" t="str">
        <f t="shared" si="111"/>
        <v>nincs</v>
      </c>
      <c r="BW353" s="313" t="s">
        <v>84</v>
      </c>
      <c r="BX353" s="282" t="str">
        <f t="shared" si="112"/>
        <v>nincs</v>
      </c>
      <c r="BZ353" s="314" t="s">
        <v>84</v>
      </c>
      <c r="CA353" s="283" t="str">
        <f t="shared" si="115"/>
        <v>nincs</v>
      </c>
      <c r="CB353" s="314" t="s">
        <v>84</v>
      </c>
      <c r="CC353" s="283" t="str">
        <f t="shared" si="116"/>
        <v>nincs</v>
      </c>
      <c r="CD353" s="314" t="s">
        <v>84</v>
      </c>
      <c r="CE353" s="283" t="str">
        <f t="shared" si="117"/>
        <v>nincs</v>
      </c>
      <c r="CF353" s="314" t="s">
        <v>84</v>
      </c>
      <c r="CG353" s="283" t="str">
        <f t="shared" si="118"/>
        <v>nincs</v>
      </c>
      <c r="CH353" s="579">
        <v>730900</v>
      </c>
      <c r="CI353" s="283">
        <f t="shared" si="119"/>
        <v>575512</v>
      </c>
      <c r="CJ353" s="314" t="s">
        <v>84</v>
      </c>
      <c r="CK353" s="283" t="str">
        <f t="shared" si="120"/>
        <v>nincs</v>
      </c>
      <c r="CL353" s="314" t="s">
        <v>84</v>
      </c>
      <c r="CM353" s="283" t="str">
        <f t="shared" si="121"/>
        <v>nincs</v>
      </c>
      <c r="CN353" s="579">
        <v>833000</v>
      </c>
      <c r="CO353" s="283">
        <f t="shared" si="122"/>
        <v>655906</v>
      </c>
      <c r="CP353" s="579">
        <v>758000</v>
      </c>
      <c r="CQ353" s="283">
        <f t="shared" si="123"/>
        <v>596850</v>
      </c>
    </row>
    <row r="354" spans="1:95" s="56" customFormat="1" x14ac:dyDescent="0.3">
      <c r="A354" s="66">
        <v>67</v>
      </c>
      <c r="B354" s="342" t="s">
        <v>671</v>
      </c>
      <c r="C354" s="199" t="s">
        <v>84</v>
      </c>
      <c r="D354" s="199" t="s">
        <v>84</v>
      </c>
      <c r="E354" s="199" t="s">
        <v>84</v>
      </c>
      <c r="F354" s="199" t="s">
        <v>84</v>
      </c>
      <c r="G354" s="112">
        <f t="shared" si="104"/>
        <v>77100</v>
      </c>
      <c r="H354" s="255">
        <v>1012100</v>
      </c>
      <c r="I354" s="255">
        <v>789400</v>
      </c>
      <c r="J354" s="255">
        <v>922700</v>
      </c>
      <c r="K354" s="280">
        <v>703000</v>
      </c>
      <c r="L354" s="280">
        <v>836300</v>
      </c>
      <c r="M354" s="280">
        <v>703000</v>
      </c>
      <c r="N354" s="280">
        <f t="shared" si="124"/>
        <v>836300</v>
      </c>
      <c r="O354" s="280">
        <v>907800</v>
      </c>
      <c r="P354" s="255">
        <v>875800</v>
      </c>
      <c r="Q354" s="255">
        <v>1009000</v>
      </c>
      <c r="R354" s="255" t="s">
        <v>84</v>
      </c>
      <c r="S354" s="193" t="s">
        <v>570</v>
      </c>
      <c r="T354" s="193" t="s">
        <v>61</v>
      </c>
      <c r="U354" s="192">
        <v>3200</v>
      </c>
      <c r="V354" s="192">
        <v>1</v>
      </c>
      <c r="W354" s="217">
        <f t="shared" si="108"/>
        <v>166300</v>
      </c>
      <c r="X354" s="192">
        <v>5500</v>
      </c>
      <c r="Y354" s="192">
        <v>2250</v>
      </c>
      <c r="Z354" s="193" t="s">
        <v>90</v>
      </c>
      <c r="AA354" s="193">
        <v>210</v>
      </c>
      <c r="AB354" s="193">
        <v>210</v>
      </c>
      <c r="AC354" s="217">
        <f t="shared" si="41"/>
        <v>91000</v>
      </c>
      <c r="AD354" s="192">
        <v>0</v>
      </c>
      <c r="AE354" s="197" t="s">
        <v>84</v>
      </c>
      <c r="AF354" s="216">
        <v>0</v>
      </c>
      <c r="AG354" s="192" t="s">
        <v>361</v>
      </c>
      <c r="AH354" s="192" t="s">
        <v>361</v>
      </c>
      <c r="AI354" s="216">
        <f t="shared" si="113"/>
        <v>208800</v>
      </c>
      <c r="AJ354" s="198">
        <v>8</v>
      </c>
      <c r="AK354" s="198" t="s">
        <v>244</v>
      </c>
      <c r="AL354" s="198" t="s">
        <v>244</v>
      </c>
      <c r="AM354" s="216">
        <f>$J$137</f>
        <v>166300</v>
      </c>
      <c r="AN354" s="230" t="str">
        <f t="shared" ca="1" si="43"/>
        <v>nincs</v>
      </c>
      <c r="AO354" s="230" t="str">
        <f t="shared" ca="1" si="44"/>
        <v>nincs</v>
      </c>
      <c r="AP354" s="230" t="str">
        <f t="shared" ca="1" si="45"/>
        <v>nincs</v>
      </c>
      <c r="AQ354" s="230" t="str">
        <f t="shared" ca="1" si="46"/>
        <v>nincs</v>
      </c>
      <c r="AR354" s="230" t="str">
        <f t="shared" ca="1" si="47"/>
        <v>nincs</v>
      </c>
      <c r="AS354" s="230" t="str">
        <f t="shared" ca="1" si="48"/>
        <v>nincs</v>
      </c>
      <c r="AT354" s="230" t="str">
        <f t="shared" ca="1" si="49"/>
        <v>nincs</v>
      </c>
      <c r="AU354" s="230" t="str">
        <f t="shared" ca="1" si="50"/>
        <v>nincs</v>
      </c>
      <c r="AV354" s="230">
        <f t="shared" ca="1" si="51"/>
        <v>747900</v>
      </c>
      <c r="AW354" s="230">
        <f t="shared" ca="1" si="52"/>
        <v>588898</v>
      </c>
      <c r="AX354" s="230" t="str">
        <f t="shared" ca="1" si="53"/>
        <v>nincs</v>
      </c>
      <c r="AY354" s="230" t="str">
        <f t="shared" ca="1" si="54"/>
        <v>nincs</v>
      </c>
      <c r="AZ354" s="230" t="str">
        <f t="shared" ca="1" si="55"/>
        <v>nincs</v>
      </c>
      <c r="BA354" s="230" t="str">
        <f t="shared" ca="1" si="56"/>
        <v>nincs</v>
      </c>
      <c r="BB354" s="230">
        <f t="shared" ca="1" si="57"/>
        <v>845800</v>
      </c>
      <c r="BC354" s="230">
        <f t="shared" ca="1" si="58"/>
        <v>665984</v>
      </c>
      <c r="BD354" s="230">
        <f t="shared" ca="1" si="59"/>
        <v>775200</v>
      </c>
      <c r="BE354" s="230">
        <f t="shared" ca="1" si="60"/>
        <v>610394</v>
      </c>
      <c r="BG354" s="313" t="s">
        <v>84</v>
      </c>
      <c r="BH354" s="282" t="str">
        <f t="shared" si="96"/>
        <v>nincs</v>
      </c>
      <c r="BI354" s="313" t="s">
        <v>84</v>
      </c>
      <c r="BJ354" s="282" t="str">
        <f t="shared" si="97"/>
        <v>nincs</v>
      </c>
      <c r="BK354" s="313" t="s">
        <v>84</v>
      </c>
      <c r="BL354" s="282" t="str">
        <f t="shared" si="98"/>
        <v>nincs</v>
      </c>
      <c r="BM354" s="313" t="s">
        <v>84</v>
      </c>
      <c r="BN354" s="282" t="str">
        <f t="shared" si="69"/>
        <v>nincs</v>
      </c>
      <c r="BO354" s="313" t="s">
        <v>84</v>
      </c>
      <c r="BP354" s="282" t="str">
        <f t="shared" si="114"/>
        <v>nincs</v>
      </c>
      <c r="BQ354" s="313" t="s">
        <v>84</v>
      </c>
      <c r="BR354" s="282" t="str">
        <f t="shared" si="109"/>
        <v>nincs</v>
      </c>
      <c r="BS354" s="313" t="s">
        <v>84</v>
      </c>
      <c r="BT354" s="282" t="str">
        <f t="shared" si="110"/>
        <v>nincs</v>
      </c>
      <c r="BU354" s="313" t="s">
        <v>84</v>
      </c>
      <c r="BV354" s="282" t="str">
        <f t="shared" si="111"/>
        <v>nincs</v>
      </c>
      <c r="BW354" s="313" t="s">
        <v>84</v>
      </c>
      <c r="BX354" s="282" t="str">
        <f t="shared" si="112"/>
        <v>nincs</v>
      </c>
      <c r="BZ354" s="313" t="s">
        <v>84</v>
      </c>
      <c r="CA354" s="282" t="str">
        <f t="shared" si="115"/>
        <v>nincs</v>
      </c>
      <c r="CB354" s="313" t="s">
        <v>84</v>
      </c>
      <c r="CC354" s="282" t="str">
        <f t="shared" si="116"/>
        <v>nincs</v>
      </c>
      <c r="CD354" s="313" t="s">
        <v>84</v>
      </c>
      <c r="CE354" s="282" t="str">
        <f t="shared" si="117"/>
        <v>nincs</v>
      </c>
      <c r="CF354" s="313" t="s">
        <v>84</v>
      </c>
      <c r="CG354" s="282" t="str">
        <f t="shared" si="118"/>
        <v>nincs</v>
      </c>
      <c r="CH354" s="339">
        <v>747900</v>
      </c>
      <c r="CI354" s="282">
        <f t="shared" si="119"/>
        <v>588898</v>
      </c>
      <c r="CJ354" s="313" t="s">
        <v>84</v>
      </c>
      <c r="CK354" s="282" t="str">
        <f t="shared" si="120"/>
        <v>nincs</v>
      </c>
      <c r="CL354" s="313" t="s">
        <v>84</v>
      </c>
      <c r="CM354" s="282" t="str">
        <f t="shared" si="121"/>
        <v>nincs</v>
      </c>
      <c r="CN354" s="339">
        <v>845800</v>
      </c>
      <c r="CO354" s="282">
        <f t="shared" si="122"/>
        <v>665984</v>
      </c>
      <c r="CP354" s="339">
        <v>775200</v>
      </c>
      <c r="CQ354" s="282">
        <f t="shared" si="123"/>
        <v>610394</v>
      </c>
    </row>
    <row r="355" spans="1:95" x14ac:dyDescent="0.3">
      <c r="A355" s="68">
        <v>68</v>
      </c>
      <c r="B355" s="73" t="s">
        <v>227</v>
      </c>
      <c r="C355" s="199" t="s">
        <v>84</v>
      </c>
      <c r="D355" s="199" t="s">
        <v>84</v>
      </c>
      <c r="E355" s="199" t="s">
        <v>84</v>
      </c>
      <c r="F355" s="199" t="s">
        <v>84</v>
      </c>
      <c r="G355" s="112">
        <f t="shared" si="104"/>
        <v>77100</v>
      </c>
      <c r="H355" s="255">
        <v>1038000</v>
      </c>
      <c r="I355" s="255">
        <v>812000</v>
      </c>
      <c r="J355" s="255">
        <v>941100</v>
      </c>
      <c r="K355" s="280">
        <v>722000</v>
      </c>
      <c r="L355" s="280">
        <v>851200</v>
      </c>
      <c r="M355" s="280">
        <v>722000</v>
      </c>
      <c r="N355" s="280">
        <f t="shared" si="124"/>
        <v>851200</v>
      </c>
      <c r="O355" s="280">
        <v>936000</v>
      </c>
      <c r="P355" s="255" t="s">
        <v>84</v>
      </c>
      <c r="Q355" s="255" t="s">
        <v>84</v>
      </c>
      <c r="R355" s="255" t="s">
        <v>84</v>
      </c>
      <c r="S355" s="195" t="s">
        <v>238</v>
      </c>
      <c r="T355" s="195" t="s">
        <v>337</v>
      </c>
      <c r="U355" s="192">
        <v>3200</v>
      </c>
      <c r="V355" s="192">
        <v>1</v>
      </c>
      <c r="W355" s="217">
        <f t="shared" si="108"/>
        <v>209000</v>
      </c>
      <c r="X355" s="196">
        <v>6000</v>
      </c>
      <c r="Y355" s="192">
        <v>2000</v>
      </c>
      <c r="Z355" s="193" t="s">
        <v>90</v>
      </c>
      <c r="AA355" s="193">
        <v>210</v>
      </c>
      <c r="AB355" s="193">
        <v>210</v>
      </c>
      <c r="AC355" s="217">
        <f>AC354</f>
        <v>91000</v>
      </c>
      <c r="AD355" s="192">
        <v>0</v>
      </c>
      <c r="AE355" s="197" t="s">
        <v>84</v>
      </c>
      <c r="AF355" s="216">
        <v>0</v>
      </c>
      <c r="AG355" s="192" t="s">
        <v>361</v>
      </c>
      <c r="AH355" s="192" t="s">
        <v>361</v>
      </c>
      <c r="AI355" s="216">
        <f t="shared" si="113"/>
        <v>234900</v>
      </c>
      <c r="AJ355" s="223">
        <v>9</v>
      </c>
      <c r="AK355" s="198" t="s">
        <v>244</v>
      </c>
      <c r="AL355" s="198" t="s">
        <v>244</v>
      </c>
      <c r="AM355" s="216">
        <f>$K$140</f>
        <v>209000</v>
      </c>
      <c r="AN355" s="230" t="str">
        <f t="shared" ca="1" si="43"/>
        <v>nincs</v>
      </c>
      <c r="AO355" s="230" t="str">
        <f t="shared" ca="1" si="44"/>
        <v>nincs</v>
      </c>
      <c r="AP355" s="230" t="str">
        <f t="shared" ca="1" si="45"/>
        <v>nincs</v>
      </c>
      <c r="AQ355" s="230" t="str">
        <f t="shared" ca="1" si="46"/>
        <v>nincs</v>
      </c>
      <c r="AR355" s="230" t="str">
        <f t="shared" ca="1" si="47"/>
        <v>nincs</v>
      </c>
      <c r="AS355" s="230" t="str">
        <f t="shared" ca="1" si="48"/>
        <v>nincs</v>
      </c>
      <c r="AT355" s="230" t="str">
        <f t="shared" ca="1" si="49"/>
        <v>nincs</v>
      </c>
      <c r="AU355" s="230" t="str">
        <f t="shared" ca="1" si="50"/>
        <v>nincs</v>
      </c>
      <c r="AV355" s="230" t="str">
        <f t="shared" ca="1" si="51"/>
        <v>nincs</v>
      </c>
      <c r="AW355" s="230" t="str">
        <f t="shared" ca="1" si="52"/>
        <v>nincs</v>
      </c>
      <c r="AX355" s="230" t="str">
        <f t="shared" ca="1" si="53"/>
        <v>nincs</v>
      </c>
      <c r="AY355" s="230" t="str">
        <f t="shared" ca="1" si="54"/>
        <v>nincs</v>
      </c>
      <c r="AZ355" s="230" t="str">
        <f t="shared" ca="1" si="55"/>
        <v>nincs</v>
      </c>
      <c r="BA355" s="230" t="str">
        <f t="shared" ca="1" si="56"/>
        <v>nincs</v>
      </c>
      <c r="BB355" s="230" t="str">
        <f t="shared" ca="1" si="57"/>
        <v>nincs</v>
      </c>
      <c r="BC355" s="230" t="str">
        <f t="shared" ca="1" si="58"/>
        <v>nincs</v>
      </c>
      <c r="BD355" s="230" t="str">
        <f t="shared" ca="1" si="59"/>
        <v>nincs</v>
      </c>
      <c r="BE355" s="230" t="str">
        <f t="shared" ca="1" si="60"/>
        <v>nincs</v>
      </c>
      <c r="BG355" s="313" t="s">
        <v>84</v>
      </c>
      <c r="BH355" s="282" t="str">
        <f t="shared" si="96"/>
        <v>nincs</v>
      </c>
      <c r="BI355" s="313" t="s">
        <v>84</v>
      </c>
      <c r="BJ355" s="282" t="str">
        <f t="shared" si="97"/>
        <v>nincs</v>
      </c>
      <c r="BK355" s="313" t="s">
        <v>84</v>
      </c>
      <c r="BL355" s="282" t="str">
        <f t="shared" si="98"/>
        <v>nincs</v>
      </c>
      <c r="BM355" s="313" t="s">
        <v>84</v>
      </c>
      <c r="BN355" s="282" t="str">
        <f t="shared" si="69"/>
        <v>nincs</v>
      </c>
      <c r="BO355" s="313" t="s">
        <v>84</v>
      </c>
      <c r="BP355" s="282" t="str">
        <f>IF(BO355="nincs","nincs",ROUND(BO355/1.27,0))</f>
        <v>nincs</v>
      </c>
      <c r="BQ355" s="313" t="s">
        <v>84</v>
      </c>
      <c r="BR355" s="282" t="str">
        <f t="shared" si="109"/>
        <v>nincs</v>
      </c>
      <c r="BS355" s="313" t="s">
        <v>84</v>
      </c>
      <c r="BT355" s="282" t="str">
        <f t="shared" si="110"/>
        <v>nincs</v>
      </c>
      <c r="BU355" s="313" t="s">
        <v>84</v>
      </c>
      <c r="BV355" s="282" t="str">
        <f t="shared" si="111"/>
        <v>nincs</v>
      </c>
      <c r="BW355" s="313" t="s">
        <v>84</v>
      </c>
      <c r="BX355" s="282" t="str">
        <f t="shared" si="112"/>
        <v>nincs</v>
      </c>
      <c r="BZ355" s="313" t="s">
        <v>84</v>
      </c>
      <c r="CA355" s="282" t="str">
        <f t="shared" si="115"/>
        <v>nincs</v>
      </c>
      <c r="CB355" s="313" t="s">
        <v>84</v>
      </c>
      <c r="CC355" s="282" t="str">
        <f t="shared" si="116"/>
        <v>nincs</v>
      </c>
      <c r="CD355" s="313" t="s">
        <v>84</v>
      </c>
      <c r="CE355" s="282" t="str">
        <f t="shared" si="117"/>
        <v>nincs</v>
      </c>
      <c r="CF355" s="313" t="s">
        <v>84</v>
      </c>
      <c r="CG355" s="282" t="str">
        <f t="shared" si="118"/>
        <v>nincs</v>
      </c>
      <c r="CH355" s="313" t="s">
        <v>84</v>
      </c>
      <c r="CI355" s="282" t="str">
        <f t="shared" si="119"/>
        <v>nincs</v>
      </c>
      <c r="CJ355" s="313" t="s">
        <v>84</v>
      </c>
      <c r="CK355" s="282" t="str">
        <f t="shared" si="120"/>
        <v>nincs</v>
      </c>
      <c r="CL355" s="313" t="s">
        <v>84</v>
      </c>
      <c r="CM355" s="282" t="str">
        <f t="shared" si="121"/>
        <v>nincs</v>
      </c>
      <c r="CN355" s="313" t="s">
        <v>84</v>
      </c>
      <c r="CO355" s="282" t="str">
        <f t="shared" si="122"/>
        <v>nincs</v>
      </c>
      <c r="CP355" s="313" t="s">
        <v>84</v>
      </c>
      <c r="CQ355" s="282" t="str">
        <f t="shared" si="123"/>
        <v>nincs</v>
      </c>
    </row>
    <row r="356" spans="1:95" x14ac:dyDescent="0.3">
      <c r="A356" s="66">
        <v>69</v>
      </c>
      <c r="B356" s="73" t="s">
        <v>228</v>
      </c>
      <c r="C356" s="199" t="s">
        <v>84</v>
      </c>
      <c r="D356" s="199" t="s">
        <v>84</v>
      </c>
      <c r="E356" s="199" t="s">
        <v>84</v>
      </c>
      <c r="F356" s="199" t="s">
        <v>84</v>
      </c>
      <c r="G356" s="112">
        <f t="shared" si="104"/>
        <v>77100</v>
      </c>
      <c r="H356" s="255">
        <v>1061600</v>
      </c>
      <c r="I356" s="255">
        <v>837800</v>
      </c>
      <c r="J356" s="255">
        <v>975200</v>
      </c>
      <c r="K356" s="280">
        <v>744800</v>
      </c>
      <c r="L356" s="280">
        <v>882200</v>
      </c>
      <c r="M356" s="280">
        <v>744800</v>
      </c>
      <c r="N356" s="280">
        <f t="shared" si="124"/>
        <v>882200</v>
      </c>
      <c r="O356" s="280">
        <v>961600</v>
      </c>
      <c r="P356" s="255" t="s">
        <v>84</v>
      </c>
      <c r="Q356" s="255" t="s">
        <v>84</v>
      </c>
      <c r="R356" s="255" t="s">
        <v>84</v>
      </c>
      <c r="S356" s="195" t="s">
        <v>238</v>
      </c>
      <c r="T356" s="195" t="s">
        <v>337</v>
      </c>
      <c r="U356" s="192">
        <v>3200</v>
      </c>
      <c r="V356" s="192">
        <v>1</v>
      </c>
      <c r="W356" s="217">
        <f t="shared" si="108"/>
        <v>209000</v>
      </c>
      <c r="X356" s="192">
        <v>6000</v>
      </c>
      <c r="Y356" s="192">
        <v>2125</v>
      </c>
      <c r="Z356" s="193" t="s">
        <v>90</v>
      </c>
      <c r="AA356" s="193">
        <v>210</v>
      </c>
      <c r="AB356" s="193">
        <v>210</v>
      </c>
      <c r="AC356" s="217">
        <f>AC355</f>
        <v>91000</v>
      </c>
      <c r="AD356" s="192">
        <v>0</v>
      </c>
      <c r="AE356" s="197" t="s">
        <v>84</v>
      </c>
      <c r="AF356" s="216">
        <v>0</v>
      </c>
      <c r="AG356" s="197" t="s">
        <v>360</v>
      </c>
      <c r="AH356" s="197" t="s">
        <v>360</v>
      </c>
      <c r="AI356" s="216">
        <f t="shared" si="113"/>
        <v>234900</v>
      </c>
      <c r="AJ356" s="223">
        <v>9</v>
      </c>
      <c r="AK356" s="198" t="s">
        <v>244</v>
      </c>
      <c r="AL356" s="198" t="s">
        <v>244</v>
      </c>
      <c r="AM356" s="216">
        <f>$K$140</f>
        <v>209000</v>
      </c>
      <c r="AN356" s="230" t="str">
        <f t="shared" ca="1" si="43"/>
        <v>nincs</v>
      </c>
      <c r="AO356" s="230" t="str">
        <f t="shared" ca="1" si="44"/>
        <v>nincs</v>
      </c>
      <c r="AP356" s="230" t="str">
        <f t="shared" ca="1" si="45"/>
        <v>nincs</v>
      </c>
      <c r="AQ356" s="230" t="str">
        <f t="shared" ca="1" si="46"/>
        <v>nincs</v>
      </c>
      <c r="AR356" s="230" t="str">
        <f t="shared" ca="1" si="47"/>
        <v>nincs</v>
      </c>
      <c r="AS356" s="230" t="str">
        <f t="shared" ca="1" si="48"/>
        <v>nincs</v>
      </c>
      <c r="AT356" s="230" t="str">
        <f t="shared" ca="1" si="49"/>
        <v>nincs</v>
      </c>
      <c r="AU356" s="230" t="str">
        <f t="shared" ca="1" si="50"/>
        <v>nincs</v>
      </c>
      <c r="AV356" s="230" t="str">
        <f t="shared" ca="1" si="51"/>
        <v>nincs</v>
      </c>
      <c r="AW356" s="230" t="str">
        <f t="shared" ca="1" si="52"/>
        <v>nincs</v>
      </c>
      <c r="AX356" s="230" t="str">
        <f t="shared" ca="1" si="53"/>
        <v>nincs</v>
      </c>
      <c r="AY356" s="230" t="str">
        <f t="shared" ca="1" si="54"/>
        <v>nincs</v>
      </c>
      <c r="AZ356" s="230" t="str">
        <f t="shared" ca="1" si="55"/>
        <v>nincs</v>
      </c>
      <c r="BA356" s="230" t="str">
        <f t="shared" ca="1" si="56"/>
        <v>nincs</v>
      </c>
      <c r="BB356" s="230" t="str">
        <f t="shared" ca="1" si="57"/>
        <v>nincs</v>
      </c>
      <c r="BC356" s="230" t="str">
        <f t="shared" ca="1" si="58"/>
        <v>nincs</v>
      </c>
      <c r="BD356" s="230" t="str">
        <f t="shared" ca="1" si="59"/>
        <v>nincs</v>
      </c>
      <c r="BE356" s="230" t="str">
        <f t="shared" ca="1" si="60"/>
        <v>nincs</v>
      </c>
      <c r="BG356" s="313" t="s">
        <v>84</v>
      </c>
      <c r="BH356" s="282" t="str">
        <f t="shared" si="96"/>
        <v>nincs</v>
      </c>
      <c r="BI356" s="313" t="s">
        <v>84</v>
      </c>
      <c r="BJ356" s="282" t="str">
        <f t="shared" si="97"/>
        <v>nincs</v>
      </c>
      <c r="BK356" s="313" t="s">
        <v>84</v>
      </c>
      <c r="BL356" s="282" t="str">
        <f t="shared" si="98"/>
        <v>nincs</v>
      </c>
      <c r="BM356" s="313" t="s">
        <v>84</v>
      </c>
      <c r="BN356" s="282" t="str">
        <f t="shared" si="69"/>
        <v>nincs</v>
      </c>
      <c r="BO356" s="313" t="s">
        <v>84</v>
      </c>
      <c r="BP356" s="282" t="str">
        <f>IF(BO356="nincs","nincs",ROUND(BO356/1.27,0))</f>
        <v>nincs</v>
      </c>
      <c r="BQ356" s="313" t="s">
        <v>84</v>
      </c>
      <c r="BR356" s="282" t="str">
        <f t="shared" si="109"/>
        <v>nincs</v>
      </c>
      <c r="BS356" s="313" t="s">
        <v>84</v>
      </c>
      <c r="BT356" s="282" t="str">
        <f t="shared" si="110"/>
        <v>nincs</v>
      </c>
      <c r="BU356" s="313" t="s">
        <v>84</v>
      </c>
      <c r="BV356" s="282" t="str">
        <f t="shared" si="111"/>
        <v>nincs</v>
      </c>
      <c r="BW356" s="313" t="s">
        <v>84</v>
      </c>
      <c r="BX356" s="282" t="str">
        <f t="shared" si="112"/>
        <v>nincs</v>
      </c>
      <c r="BZ356" s="313" t="s">
        <v>84</v>
      </c>
      <c r="CA356" s="282" t="str">
        <f t="shared" si="115"/>
        <v>nincs</v>
      </c>
      <c r="CB356" s="313" t="s">
        <v>84</v>
      </c>
      <c r="CC356" s="282" t="str">
        <f t="shared" si="116"/>
        <v>nincs</v>
      </c>
      <c r="CD356" s="313" t="s">
        <v>84</v>
      </c>
      <c r="CE356" s="282" t="str">
        <f t="shared" si="117"/>
        <v>nincs</v>
      </c>
      <c r="CF356" s="313" t="s">
        <v>84</v>
      </c>
      <c r="CG356" s="282" t="str">
        <f t="shared" si="118"/>
        <v>nincs</v>
      </c>
      <c r="CH356" s="313" t="s">
        <v>84</v>
      </c>
      <c r="CI356" s="282" t="str">
        <f t="shared" si="119"/>
        <v>nincs</v>
      </c>
      <c r="CJ356" s="313" t="s">
        <v>84</v>
      </c>
      <c r="CK356" s="282" t="str">
        <f t="shared" si="120"/>
        <v>nincs</v>
      </c>
      <c r="CL356" s="313" t="s">
        <v>84</v>
      </c>
      <c r="CM356" s="282" t="str">
        <f t="shared" si="121"/>
        <v>nincs</v>
      </c>
      <c r="CN356" s="313" t="s">
        <v>84</v>
      </c>
      <c r="CO356" s="282" t="str">
        <f t="shared" si="122"/>
        <v>nincs</v>
      </c>
      <c r="CP356" s="313" t="s">
        <v>84</v>
      </c>
      <c r="CQ356" s="282" t="str">
        <f t="shared" si="123"/>
        <v>nincs</v>
      </c>
    </row>
    <row r="357" spans="1:95" x14ac:dyDescent="0.3">
      <c r="A357" s="68">
        <v>70</v>
      </c>
      <c r="B357" s="73" t="s">
        <v>229</v>
      </c>
      <c r="C357" s="199" t="s">
        <v>84</v>
      </c>
      <c r="D357" s="199" t="s">
        <v>84</v>
      </c>
      <c r="E357" s="199" t="s">
        <v>84</v>
      </c>
      <c r="F357" s="199" t="s">
        <v>84</v>
      </c>
      <c r="G357" s="112">
        <f t="shared" si="104"/>
        <v>77100</v>
      </c>
      <c r="H357" s="255">
        <v>1100800</v>
      </c>
      <c r="I357" s="255">
        <v>854000</v>
      </c>
      <c r="J357" s="255">
        <v>999300</v>
      </c>
      <c r="K357" s="280">
        <v>759700</v>
      </c>
      <c r="L357" s="280">
        <v>905000</v>
      </c>
      <c r="M357" s="280">
        <v>759700</v>
      </c>
      <c r="N357" s="280">
        <f t="shared" si="124"/>
        <v>905000</v>
      </c>
      <c r="O357" s="280">
        <v>983900</v>
      </c>
      <c r="P357" s="255" t="s">
        <v>84</v>
      </c>
      <c r="Q357" s="255" t="s">
        <v>84</v>
      </c>
      <c r="R357" s="255" t="s">
        <v>84</v>
      </c>
      <c r="S357" s="195" t="s">
        <v>238</v>
      </c>
      <c r="T357" s="195" t="s">
        <v>337</v>
      </c>
      <c r="U357" s="192">
        <v>3200</v>
      </c>
      <c r="V357" s="192">
        <v>1</v>
      </c>
      <c r="W357" s="217">
        <f t="shared" si="108"/>
        <v>209000</v>
      </c>
      <c r="X357" s="192">
        <v>6000</v>
      </c>
      <c r="Y357" s="192">
        <v>2250</v>
      </c>
      <c r="Z357" s="193" t="s">
        <v>90</v>
      </c>
      <c r="AA357" s="193">
        <v>210</v>
      </c>
      <c r="AB357" s="193">
        <v>210</v>
      </c>
      <c r="AC357" s="217">
        <f>AC356</f>
        <v>91000</v>
      </c>
      <c r="AD357" s="192">
        <v>0</v>
      </c>
      <c r="AE357" s="197" t="s">
        <v>84</v>
      </c>
      <c r="AF357" s="216">
        <v>0</v>
      </c>
      <c r="AG357" s="197" t="s">
        <v>360</v>
      </c>
      <c r="AH357" s="197" t="s">
        <v>360</v>
      </c>
      <c r="AI357" s="216">
        <f t="shared" si="113"/>
        <v>234900</v>
      </c>
      <c r="AJ357" s="223">
        <v>9</v>
      </c>
      <c r="AK357" s="198" t="s">
        <v>244</v>
      </c>
      <c r="AL357" s="198" t="s">
        <v>244</v>
      </c>
      <c r="AM357" s="216">
        <f>$K$140</f>
        <v>209000</v>
      </c>
      <c r="AN357" s="230" t="str">
        <f t="shared" ca="1" si="43"/>
        <v>nincs</v>
      </c>
      <c r="AO357" s="230" t="str">
        <f t="shared" ca="1" si="44"/>
        <v>nincs</v>
      </c>
      <c r="AP357" s="230" t="str">
        <f t="shared" ca="1" si="45"/>
        <v>nincs</v>
      </c>
      <c r="AQ357" s="230" t="str">
        <f t="shared" ca="1" si="46"/>
        <v>nincs</v>
      </c>
      <c r="AR357" s="230" t="str">
        <f t="shared" ca="1" si="47"/>
        <v>nincs</v>
      </c>
      <c r="AS357" s="230" t="str">
        <f t="shared" ca="1" si="48"/>
        <v>nincs</v>
      </c>
      <c r="AT357" s="230" t="str">
        <f t="shared" ca="1" si="49"/>
        <v>nincs</v>
      </c>
      <c r="AU357" s="230" t="str">
        <f t="shared" ca="1" si="50"/>
        <v>nincs</v>
      </c>
      <c r="AV357" s="230" t="str">
        <f t="shared" ca="1" si="51"/>
        <v>nincs</v>
      </c>
      <c r="AW357" s="230" t="str">
        <f t="shared" ca="1" si="52"/>
        <v>nincs</v>
      </c>
      <c r="AX357" s="230" t="str">
        <f t="shared" ca="1" si="53"/>
        <v>nincs</v>
      </c>
      <c r="AY357" s="230" t="str">
        <f t="shared" ca="1" si="54"/>
        <v>nincs</v>
      </c>
      <c r="AZ357" s="230" t="str">
        <f t="shared" ca="1" si="55"/>
        <v>nincs</v>
      </c>
      <c r="BA357" s="230" t="str">
        <f t="shared" ca="1" si="56"/>
        <v>nincs</v>
      </c>
      <c r="BB357" s="230" t="str">
        <f t="shared" ca="1" si="57"/>
        <v>nincs</v>
      </c>
      <c r="BC357" s="230" t="str">
        <f t="shared" ca="1" si="58"/>
        <v>nincs</v>
      </c>
      <c r="BD357" s="230" t="str">
        <f t="shared" ca="1" si="59"/>
        <v>nincs</v>
      </c>
      <c r="BE357" s="230" t="str">
        <f t="shared" ca="1" si="60"/>
        <v>nincs</v>
      </c>
      <c r="BG357" s="313" t="s">
        <v>84</v>
      </c>
      <c r="BH357" s="282" t="str">
        <f t="shared" si="96"/>
        <v>nincs</v>
      </c>
      <c r="BI357" s="313" t="s">
        <v>84</v>
      </c>
      <c r="BJ357" s="282" t="str">
        <f t="shared" si="97"/>
        <v>nincs</v>
      </c>
      <c r="BK357" s="313" t="s">
        <v>84</v>
      </c>
      <c r="BL357" s="282" t="str">
        <f t="shared" si="98"/>
        <v>nincs</v>
      </c>
      <c r="BM357" s="313" t="s">
        <v>84</v>
      </c>
      <c r="BN357" s="282" t="str">
        <f t="shared" si="69"/>
        <v>nincs</v>
      </c>
      <c r="BO357" s="313" t="s">
        <v>84</v>
      </c>
      <c r="BP357" s="282" t="str">
        <f>IF(BO357="nincs","nincs",ROUND(BO357/1.27,0))</f>
        <v>nincs</v>
      </c>
      <c r="BQ357" s="313" t="s">
        <v>84</v>
      </c>
      <c r="BR357" s="282" t="str">
        <f t="shared" si="109"/>
        <v>nincs</v>
      </c>
      <c r="BS357" s="313" t="s">
        <v>84</v>
      </c>
      <c r="BT357" s="282" t="str">
        <f t="shared" si="110"/>
        <v>nincs</v>
      </c>
      <c r="BU357" s="313" t="s">
        <v>84</v>
      </c>
      <c r="BV357" s="282" t="str">
        <f t="shared" si="111"/>
        <v>nincs</v>
      </c>
      <c r="BW357" s="313" t="s">
        <v>84</v>
      </c>
      <c r="BX357" s="282" t="str">
        <f t="shared" si="112"/>
        <v>nincs</v>
      </c>
      <c r="BZ357" s="313" t="s">
        <v>84</v>
      </c>
      <c r="CA357" s="282" t="str">
        <f t="shared" si="115"/>
        <v>nincs</v>
      </c>
      <c r="CB357" s="313" t="s">
        <v>84</v>
      </c>
      <c r="CC357" s="282" t="str">
        <f t="shared" si="116"/>
        <v>nincs</v>
      </c>
      <c r="CD357" s="313" t="s">
        <v>84</v>
      </c>
      <c r="CE357" s="282" t="str">
        <f t="shared" si="117"/>
        <v>nincs</v>
      </c>
      <c r="CF357" s="313" t="s">
        <v>84</v>
      </c>
      <c r="CG357" s="282" t="str">
        <f t="shared" si="118"/>
        <v>nincs</v>
      </c>
      <c r="CH357" s="313" t="s">
        <v>84</v>
      </c>
      <c r="CI357" s="282" t="str">
        <f t="shared" si="119"/>
        <v>nincs</v>
      </c>
      <c r="CJ357" s="313" t="s">
        <v>84</v>
      </c>
      <c r="CK357" s="282" t="str">
        <f t="shared" si="120"/>
        <v>nincs</v>
      </c>
      <c r="CL357" s="313" t="s">
        <v>84</v>
      </c>
      <c r="CM357" s="282" t="str">
        <f t="shared" si="121"/>
        <v>nincs</v>
      </c>
      <c r="CN357" s="313" t="s">
        <v>84</v>
      </c>
      <c r="CO357" s="282" t="str">
        <f t="shared" si="122"/>
        <v>nincs</v>
      </c>
      <c r="CP357" s="313" t="s">
        <v>84</v>
      </c>
      <c r="CQ357" s="282" t="str">
        <f t="shared" si="123"/>
        <v>nincs</v>
      </c>
    </row>
    <row r="358" spans="1:95" x14ac:dyDescent="0.3">
      <c r="A358" s="66">
        <v>71</v>
      </c>
      <c r="B358" s="73" t="s">
        <v>84</v>
      </c>
      <c r="C358" s="199" t="s">
        <v>84</v>
      </c>
      <c r="D358" s="199" t="s">
        <v>84</v>
      </c>
      <c r="E358" s="199" t="s">
        <v>84</v>
      </c>
      <c r="F358" s="199" t="s">
        <v>84</v>
      </c>
      <c r="G358" s="199" t="s">
        <v>84</v>
      </c>
      <c r="H358" s="197" t="s">
        <v>84</v>
      </c>
      <c r="I358" s="197" t="s">
        <v>84</v>
      </c>
      <c r="J358" s="197" t="s">
        <v>84</v>
      </c>
      <c r="K358" s="197" t="s">
        <v>84</v>
      </c>
      <c r="L358" s="197" t="s">
        <v>84</v>
      </c>
      <c r="M358" s="197" t="s">
        <v>84</v>
      </c>
      <c r="N358" s="197" t="s">
        <v>84</v>
      </c>
      <c r="O358" s="197" t="s">
        <v>84</v>
      </c>
      <c r="P358" s="197" t="s">
        <v>84</v>
      </c>
      <c r="Q358" s="197" t="s">
        <v>84</v>
      </c>
      <c r="R358" s="197" t="s">
        <v>84</v>
      </c>
      <c r="S358" s="197" t="s">
        <v>84</v>
      </c>
      <c r="T358" s="197" t="s">
        <v>84</v>
      </c>
      <c r="U358" s="197" t="s">
        <v>84</v>
      </c>
      <c r="V358" s="197" t="s">
        <v>84</v>
      </c>
      <c r="W358" s="197" t="s">
        <v>84</v>
      </c>
      <c r="X358" s="197" t="s">
        <v>84</v>
      </c>
      <c r="Y358" s="197" t="s">
        <v>84</v>
      </c>
      <c r="Z358" s="197" t="s">
        <v>84</v>
      </c>
      <c r="AA358" s="197" t="s">
        <v>84</v>
      </c>
      <c r="AB358" s="197" t="s">
        <v>84</v>
      </c>
      <c r="AC358" s="197" t="s">
        <v>84</v>
      </c>
      <c r="AD358" s="197" t="s">
        <v>84</v>
      </c>
      <c r="AE358" s="197" t="s">
        <v>84</v>
      </c>
      <c r="AF358" s="197" t="s">
        <v>84</v>
      </c>
      <c r="AG358" s="197" t="s">
        <v>84</v>
      </c>
      <c r="AH358" s="197" t="s">
        <v>84</v>
      </c>
      <c r="AI358" s="197" t="s">
        <v>84</v>
      </c>
      <c r="AJ358" s="197" t="s">
        <v>84</v>
      </c>
      <c r="AK358" s="197" t="s">
        <v>84</v>
      </c>
      <c r="AL358" s="197" t="s">
        <v>84</v>
      </c>
      <c r="AM358" s="197" t="s">
        <v>84</v>
      </c>
      <c r="AN358" s="230" t="str">
        <f t="shared" ca="1" si="43"/>
        <v>nincs</v>
      </c>
      <c r="AO358" s="230" t="str">
        <f t="shared" ca="1" si="44"/>
        <v>nincs</v>
      </c>
      <c r="AP358" s="230" t="str">
        <f t="shared" ca="1" si="45"/>
        <v>nincs</v>
      </c>
      <c r="AQ358" s="230" t="str">
        <f t="shared" ca="1" si="46"/>
        <v>nincs</v>
      </c>
      <c r="AR358" s="230" t="str">
        <f t="shared" ca="1" si="47"/>
        <v>nincs</v>
      </c>
      <c r="AS358" s="230" t="str">
        <f t="shared" ca="1" si="48"/>
        <v>nincs</v>
      </c>
      <c r="AT358" s="230" t="str">
        <f t="shared" ca="1" si="49"/>
        <v>nincs</v>
      </c>
      <c r="AU358" s="230" t="str">
        <f t="shared" ca="1" si="50"/>
        <v>nincs</v>
      </c>
      <c r="AV358" s="230" t="str">
        <f t="shared" ca="1" si="51"/>
        <v>nincs</v>
      </c>
      <c r="AW358" s="230" t="str">
        <f t="shared" ca="1" si="52"/>
        <v>nincs</v>
      </c>
      <c r="AX358" s="230" t="str">
        <f t="shared" ca="1" si="53"/>
        <v>nincs</v>
      </c>
      <c r="AY358" s="230" t="str">
        <f t="shared" ca="1" si="54"/>
        <v>nincs</v>
      </c>
      <c r="AZ358" s="230" t="str">
        <f t="shared" ca="1" si="55"/>
        <v>nincs</v>
      </c>
      <c r="BA358" s="230" t="str">
        <f t="shared" ca="1" si="56"/>
        <v>nincs</v>
      </c>
      <c r="BB358" s="230" t="str">
        <f t="shared" ca="1" si="57"/>
        <v>nincs</v>
      </c>
      <c r="BC358" s="230" t="str">
        <f t="shared" ca="1" si="58"/>
        <v>nincs</v>
      </c>
      <c r="BD358" s="230" t="str">
        <f t="shared" ca="1" si="59"/>
        <v>nincs</v>
      </c>
      <c r="BE358" s="230" t="str">
        <f t="shared" ca="1" si="60"/>
        <v>nincs</v>
      </c>
      <c r="BG358" s="313" t="s">
        <v>84</v>
      </c>
      <c r="BH358" s="282" t="str">
        <f t="shared" si="96"/>
        <v>nincs</v>
      </c>
      <c r="BI358" s="313" t="s">
        <v>84</v>
      </c>
      <c r="BJ358" s="282" t="str">
        <f t="shared" si="97"/>
        <v>nincs</v>
      </c>
      <c r="BK358" s="313" t="s">
        <v>84</v>
      </c>
      <c r="BL358" s="282" t="str">
        <f t="shared" si="98"/>
        <v>nincs</v>
      </c>
      <c r="BM358" s="313" t="s">
        <v>84</v>
      </c>
      <c r="BN358" s="282" t="str">
        <f t="shared" si="69"/>
        <v>nincs</v>
      </c>
      <c r="BO358" s="313" t="s">
        <v>84</v>
      </c>
      <c r="BP358" s="282" t="str">
        <f>IF(BO358="nincs","nincs",ROUND(BO358/1.27,0))</f>
        <v>nincs</v>
      </c>
      <c r="BQ358" s="313" t="s">
        <v>84</v>
      </c>
      <c r="BR358" s="282" t="str">
        <f t="shared" si="109"/>
        <v>nincs</v>
      </c>
      <c r="BS358" s="313" t="s">
        <v>84</v>
      </c>
      <c r="BT358" s="282" t="str">
        <f t="shared" si="110"/>
        <v>nincs</v>
      </c>
      <c r="BU358" s="313" t="s">
        <v>84</v>
      </c>
      <c r="BV358" s="282" t="str">
        <f t="shared" si="111"/>
        <v>nincs</v>
      </c>
      <c r="BW358" s="313" t="s">
        <v>84</v>
      </c>
      <c r="BX358" s="282" t="str">
        <f t="shared" si="112"/>
        <v>nincs</v>
      </c>
      <c r="BZ358" s="313" t="s">
        <v>84</v>
      </c>
      <c r="CA358" s="282" t="str">
        <f t="shared" si="115"/>
        <v>nincs</v>
      </c>
      <c r="CB358" s="313" t="s">
        <v>84</v>
      </c>
      <c r="CC358" s="282" t="str">
        <f t="shared" si="116"/>
        <v>nincs</v>
      </c>
      <c r="CD358" s="313" t="s">
        <v>84</v>
      </c>
      <c r="CE358" s="282" t="str">
        <f t="shared" si="117"/>
        <v>nincs</v>
      </c>
      <c r="CF358" s="313" t="s">
        <v>84</v>
      </c>
      <c r="CG358" s="282" t="str">
        <f t="shared" si="118"/>
        <v>nincs</v>
      </c>
      <c r="CH358" s="313" t="s">
        <v>84</v>
      </c>
      <c r="CI358" s="282" t="str">
        <f t="shared" si="119"/>
        <v>nincs</v>
      </c>
      <c r="CJ358" s="313" t="s">
        <v>84</v>
      </c>
      <c r="CK358" s="282" t="str">
        <f t="shared" si="120"/>
        <v>nincs</v>
      </c>
      <c r="CL358" s="313" t="s">
        <v>84</v>
      </c>
      <c r="CM358" s="282" t="str">
        <f t="shared" si="121"/>
        <v>nincs</v>
      </c>
      <c r="CN358" s="313" t="s">
        <v>84</v>
      </c>
      <c r="CO358" s="282" t="str">
        <f t="shared" si="122"/>
        <v>nincs</v>
      </c>
      <c r="CP358" s="313" t="s">
        <v>84</v>
      </c>
      <c r="CQ358" s="282" t="str">
        <f t="shared" si="123"/>
        <v>nincs</v>
      </c>
    </row>
    <row r="360" spans="1:95" x14ac:dyDescent="0.3">
      <c r="S360" s="53" t="s">
        <v>343</v>
      </c>
      <c r="W360" s="119">
        <f>W345-W344</f>
        <v>43100</v>
      </c>
    </row>
    <row r="363" spans="1:95" x14ac:dyDescent="0.3">
      <c r="H363" s="246"/>
      <c r="I363" s="246"/>
      <c r="J363" s="311" t="s">
        <v>494</v>
      </c>
      <c r="K363" s="255">
        <v>700</v>
      </c>
      <c r="L363" s="312" t="s">
        <v>508</v>
      </c>
    </row>
    <row r="364" spans="1:95" x14ac:dyDescent="0.3">
      <c r="H364" s="311" t="s">
        <v>292</v>
      </c>
      <c r="I364" s="270">
        <v>2500</v>
      </c>
      <c r="J364" s="311" t="s">
        <v>495</v>
      </c>
      <c r="K364" s="234">
        <v>10</v>
      </c>
      <c r="L364" s="246" t="s">
        <v>493</v>
      </c>
    </row>
    <row r="365" spans="1:95" ht="33.75" customHeight="1" x14ac:dyDescent="0.3">
      <c r="A365" s="567" t="s">
        <v>253</v>
      </c>
      <c r="B365" s="567"/>
      <c r="C365" s="304" t="s">
        <v>279</v>
      </c>
      <c r="D365" s="304" t="s">
        <v>280</v>
      </c>
      <c r="E365" s="305" t="s">
        <v>281</v>
      </c>
      <c r="F365" s="302" t="s">
        <v>317</v>
      </c>
      <c r="G365" s="203" t="s">
        <v>288</v>
      </c>
      <c r="H365" s="302" t="s">
        <v>289</v>
      </c>
      <c r="I365" s="302" t="s">
        <v>290</v>
      </c>
      <c r="J365" s="302" t="s">
        <v>291</v>
      </c>
      <c r="K365" s="302" t="s">
        <v>293</v>
      </c>
      <c r="L365" s="302" t="s">
        <v>294</v>
      </c>
      <c r="M365" s="203"/>
      <c r="N365" s="203"/>
      <c r="O365" s="306"/>
      <c r="P365" s="203" t="s">
        <v>496</v>
      </c>
      <c r="Q365" s="203"/>
    </row>
    <row r="366" spans="1:95" x14ac:dyDescent="0.3">
      <c r="A366" s="203">
        <v>0</v>
      </c>
      <c r="B366" s="218" t="s">
        <v>255</v>
      </c>
      <c r="C366" s="217">
        <f>D366</f>
        <v>6000</v>
      </c>
      <c r="D366" s="255">
        <v>6000</v>
      </c>
      <c r="E366" s="256">
        <f>D366</f>
        <v>6000</v>
      </c>
      <c r="F366" s="307">
        <v>10</v>
      </c>
      <c r="G366" s="246">
        <f>F366/80</f>
        <v>0.125</v>
      </c>
      <c r="H366" s="308">
        <f>G366*$I$364</f>
        <v>312.5</v>
      </c>
      <c r="I366" s="308">
        <f>G366*$I$364*2</f>
        <v>625</v>
      </c>
      <c r="J366" s="308">
        <f t="shared" ref="J366:J391" si="125">F366*K$363*K$364/100</f>
        <v>700</v>
      </c>
      <c r="K366" s="309" t="s">
        <v>318</v>
      </c>
      <c r="L366" s="309" t="s">
        <v>318</v>
      </c>
      <c r="M366" s="563" t="s">
        <v>362</v>
      </c>
      <c r="N366" s="246"/>
      <c r="O366" s="308"/>
      <c r="P366" s="246">
        <v>1</v>
      </c>
      <c r="Q366" s="310">
        <f>SUM(L366)*P366</f>
        <v>0</v>
      </c>
    </row>
    <row r="367" spans="1:95" x14ac:dyDescent="0.3">
      <c r="A367" s="203">
        <v>1</v>
      </c>
      <c r="B367" s="218" t="s">
        <v>256</v>
      </c>
      <c r="C367" s="217">
        <f t="shared" ref="C367:C391" si="126">D367</f>
        <v>6000</v>
      </c>
      <c r="D367" s="255">
        <v>6000</v>
      </c>
      <c r="E367" s="256">
        <f t="shared" ref="E367:E391" si="127">D367</f>
        <v>6000</v>
      </c>
      <c r="F367" s="307">
        <v>20</v>
      </c>
      <c r="G367" s="246">
        <f t="shared" ref="G367:G391" si="128">F367/80</f>
        <v>0.25</v>
      </c>
      <c r="H367" s="308">
        <f t="shared" ref="H367:H391" si="129">G367*$I$364</f>
        <v>625</v>
      </c>
      <c r="I367" s="308">
        <f t="shared" ref="I367:I391" si="130">G367*$I$364*2</f>
        <v>1250</v>
      </c>
      <c r="J367" s="308">
        <f t="shared" si="125"/>
        <v>1400</v>
      </c>
      <c r="K367" s="309" t="s">
        <v>318</v>
      </c>
      <c r="L367" s="309" t="s">
        <v>318</v>
      </c>
      <c r="M367" s="563"/>
      <c r="N367" s="246" t="s">
        <v>363</v>
      </c>
      <c r="O367" s="308"/>
      <c r="P367" s="246">
        <v>1</v>
      </c>
      <c r="Q367" s="310">
        <f t="shared" ref="Q367:Q391" si="131">SUM(L367)*P367</f>
        <v>0</v>
      </c>
    </row>
    <row r="368" spans="1:95" x14ac:dyDescent="0.3">
      <c r="A368" s="203">
        <v>2</v>
      </c>
      <c r="B368" s="303" t="s">
        <v>254</v>
      </c>
      <c r="C368" s="217">
        <f t="shared" si="126"/>
        <v>7000</v>
      </c>
      <c r="D368" s="255">
        <v>7000</v>
      </c>
      <c r="E368" s="256">
        <f t="shared" si="127"/>
        <v>7000</v>
      </c>
      <c r="F368" s="307">
        <v>40</v>
      </c>
      <c r="G368" s="246">
        <f t="shared" si="128"/>
        <v>0.5</v>
      </c>
      <c r="H368" s="308">
        <f t="shared" si="129"/>
        <v>1250</v>
      </c>
      <c r="I368" s="308">
        <f t="shared" si="130"/>
        <v>2500</v>
      </c>
      <c r="J368" s="308">
        <f t="shared" si="125"/>
        <v>2800</v>
      </c>
      <c r="K368" s="309">
        <f>ROUNDUP((H368+J368)/100,0)*100</f>
        <v>4100</v>
      </c>
      <c r="L368" s="309">
        <f>ROUNDUP((I368+J368)/100,0)*100</f>
        <v>5300</v>
      </c>
      <c r="M368" s="246" t="s">
        <v>304</v>
      </c>
      <c r="N368" s="246"/>
      <c r="O368" s="308"/>
      <c r="P368" s="246">
        <v>1</v>
      </c>
      <c r="Q368" s="310">
        <f t="shared" si="131"/>
        <v>5300</v>
      </c>
    </row>
    <row r="369" spans="1:17" x14ac:dyDescent="0.3">
      <c r="A369" s="203">
        <v>3</v>
      </c>
      <c r="B369" s="218" t="s">
        <v>285</v>
      </c>
      <c r="C369" s="217">
        <f t="shared" si="126"/>
        <v>8000</v>
      </c>
      <c r="D369" s="217">
        <f t="shared" ref="D369:D391" si="132">Q369</f>
        <v>8000</v>
      </c>
      <c r="E369" s="256">
        <f t="shared" si="127"/>
        <v>8000</v>
      </c>
      <c r="F369" s="307">
        <v>60</v>
      </c>
      <c r="G369" s="246">
        <f t="shared" si="128"/>
        <v>0.75</v>
      </c>
      <c r="H369" s="308">
        <f t="shared" si="129"/>
        <v>1875</v>
      </c>
      <c r="I369" s="308">
        <f t="shared" si="130"/>
        <v>3750</v>
      </c>
      <c r="J369" s="308">
        <f t="shared" si="125"/>
        <v>4200</v>
      </c>
      <c r="K369" s="309">
        <f>ROUNDUP((H369+J369)/100,0)*100</f>
        <v>6100</v>
      </c>
      <c r="L369" s="309">
        <f>ROUNDUP((I369+J369)/100,0)*100</f>
        <v>8000</v>
      </c>
      <c r="M369" s="246" t="s">
        <v>303</v>
      </c>
      <c r="N369" s="246"/>
      <c r="O369" s="308"/>
      <c r="P369" s="246">
        <v>1</v>
      </c>
      <c r="Q369" s="310">
        <f t="shared" si="131"/>
        <v>8000</v>
      </c>
    </row>
    <row r="370" spans="1:17" x14ac:dyDescent="0.3">
      <c r="A370" s="203">
        <v>4</v>
      </c>
      <c r="B370" s="218" t="s">
        <v>284</v>
      </c>
      <c r="C370" s="217">
        <f t="shared" si="126"/>
        <v>10600</v>
      </c>
      <c r="D370" s="217">
        <f t="shared" si="132"/>
        <v>10600</v>
      </c>
      <c r="E370" s="256">
        <f t="shared" si="127"/>
        <v>10600</v>
      </c>
      <c r="F370" s="307">
        <v>80</v>
      </c>
      <c r="G370" s="246">
        <f t="shared" si="128"/>
        <v>1</v>
      </c>
      <c r="H370" s="308">
        <f t="shared" si="129"/>
        <v>2500</v>
      </c>
      <c r="I370" s="308">
        <f t="shared" si="130"/>
        <v>5000</v>
      </c>
      <c r="J370" s="308">
        <f t="shared" si="125"/>
        <v>5600</v>
      </c>
      <c r="K370" s="309">
        <f t="shared" ref="K370:K391" si="133">ROUNDUP((H370+J370)/100,0)*100</f>
        <v>8100</v>
      </c>
      <c r="L370" s="309">
        <f t="shared" ref="L370:L391" si="134">ROUNDUP((I370+J370)/100,0)*100</f>
        <v>10600</v>
      </c>
      <c r="M370" s="246" t="s">
        <v>306</v>
      </c>
      <c r="N370" s="246"/>
      <c r="O370" s="308"/>
      <c r="P370" s="246">
        <v>1</v>
      </c>
      <c r="Q370" s="310">
        <f t="shared" si="131"/>
        <v>10600</v>
      </c>
    </row>
    <row r="371" spans="1:17" x14ac:dyDescent="0.3">
      <c r="A371" s="203">
        <v>5</v>
      </c>
      <c r="B371" s="218" t="s">
        <v>283</v>
      </c>
      <c r="C371" s="217">
        <f t="shared" si="126"/>
        <v>13300</v>
      </c>
      <c r="D371" s="217">
        <f t="shared" si="132"/>
        <v>13300</v>
      </c>
      <c r="E371" s="256">
        <f t="shared" si="127"/>
        <v>13300</v>
      </c>
      <c r="F371" s="307">
        <v>100</v>
      </c>
      <c r="G371" s="246">
        <f t="shared" si="128"/>
        <v>1.25</v>
      </c>
      <c r="H371" s="308">
        <f t="shared" si="129"/>
        <v>3125</v>
      </c>
      <c r="I371" s="308">
        <f t="shared" si="130"/>
        <v>6250</v>
      </c>
      <c r="J371" s="308">
        <f t="shared" si="125"/>
        <v>7000</v>
      </c>
      <c r="K371" s="309">
        <f t="shared" si="133"/>
        <v>10200</v>
      </c>
      <c r="L371" s="309">
        <f t="shared" si="134"/>
        <v>13300</v>
      </c>
      <c r="M371" s="246" t="s">
        <v>305</v>
      </c>
      <c r="N371" s="246"/>
      <c r="O371" s="308"/>
      <c r="P371" s="246">
        <v>1</v>
      </c>
      <c r="Q371" s="310">
        <f t="shared" si="131"/>
        <v>13300</v>
      </c>
    </row>
    <row r="372" spans="1:17" x14ac:dyDescent="0.3">
      <c r="A372" s="203">
        <v>6</v>
      </c>
      <c r="B372" s="218" t="s">
        <v>258</v>
      </c>
      <c r="C372" s="217">
        <f t="shared" si="126"/>
        <v>15900</v>
      </c>
      <c r="D372" s="217">
        <f t="shared" si="132"/>
        <v>15900</v>
      </c>
      <c r="E372" s="256">
        <f t="shared" si="127"/>
        <v>15900</v>
      </c>
      <c r="F372" s="307">
        <v>120</v>
      </c>
      <c r="G372" s="246">
        <f t="shared" si="128"/>
        <v>1.5</v>
      </c>
      <c r="H372" s="308">
        <f t="shared" si="129"/>
        <v>3750</v>
      </c>
      <c r="I372" s="308">
        <f t="shared" si="130"/>
        <v>7500</v>
      </c>
      <c r="J372" s="308">
        <f t="shared" si="125"/>
        <v>8400</v>
      </c>
      <c r="K372" s="309">
        <f t="shared" si="133"/>
        <v>12200</v>
      </c>
      <c r="L372" s="309">
        <f t="shared" si="134"/>
        <v>15900</v>
      </c>
      <c r="M372" s="246" t="s">
        <v>297</v>
      </c>
      <c r="N372" s="246"/>
      <c r="O372" s="308"/>
      <c r="P372" s="246">
        <v>1</v>
      </c>
      <c r="Q372" s="310">
        <f t="shared" si="131"/>
        <v>15900</v>
      </c>
    </row>
    <row r="373" spans="1:17" x14ac:dyDescent="0.3">
      <c r="A373" s="203">
        <v>7</v>
      </c>
      <c r="B373" s="218" t="s">
        <v>257</v>
      </c>
      <c r="C373" s="217">
        <f t="shared" si="126"/>
        <v>22320</v>
      </c>
      <c r="D373" s="217">
        <f t="shared" si="132"/>
        <v>22320</v>
      </c>
      <c r="E373" s="256">
        <f t="shared" si="127"/>
        <v>22320</v>
      </c>
      <c r="F373" s="307">
        <v>140</v>
      </c>
      <c r="G373" s="246">
        <f t="shared" si="128"/>
        <v>1.75</v>
      </c>
      <c r="H373" s="308">
        <f t="shared" si="129"/>
        <v>4375</v>
      </c>
      <c r="I373" s="308">
        <f t="shared" si="130"/>
        <v>8750</v>
      </c>
      <c r="J373" s="308">
        <f t="shared" si="125"/>
        <v>9800</v>
      </c>
      <c r="K373" s="309">
        <f t="shared" si="133"/>
        <v>14200</v>
      </c>
      <c r="L373" s="309">
        <f t="shared" si="134"/>
        <v>18600</v>
      </c>
      <c r="M373" s="246" t="s">
        <v>364</v>
      </c>
      <c r="N373" s="246"/>
      <c r="O373" s="308"/>
      <c r="P373" s="246">
        <v>1.2</v>
      </c>
      <c r="Q373" s="310">
        <f t="shared" si="131"/>
        <v>22320</v>
      </c>
    </row>
    <row r="374" spans="1:17" x14ac:dyDescent="0.3">
      <c r="A374" s="203">
        <v>8</v>
      </c>
      <c r="B374" s="218" t="s">
        <v>275</v>
      </c>
      <c r="C374" s="217">
        <f t="shared" si="126"/>
        <v>25440</v>
      </c>
      <c r="D374" s="217">
        <f t="shared" si="132"/>
        <v>25440</v>
      </c>
      <c r="E374" s="256">
        <f t="shared" si="127"/>
        <v>25440</v>
      </c>
      <c r="F374" s="307">
        <v>160</v>
      </c>
      <c r="G374" s="246">
        <f t="shared" si="128"/>
        <v>2</v>
      </c>
      <c r="H374" s="308">
        <f t="shared" si="129"/>
        <v>5000</v>
      </c>
      <c r="I374" s="308">
        <f t="shared" si="130"/>
        <v>10000</v>
      </c>
      <c r="J374" s="308">
        <f t="shared" si="125"/>
        <v>11200</v>
      </c>
      <c r="K374" s="309">
        <f t="shared" si="133"/>
        <v>16200</v>
      </c>
      <c r="L374" s="309">
        <f t="shared" si="134"/>
        <v>21200</v>
      </c>
      <c r="M374" s="246" t="s">
        <v>296</v>
      </c>
      <c r="N374" s="246"/>
      <c r="O374" s="308"/>
      <c r="P374" s="246">
        <v>1.2</v>
      </c>
      <c r="Q374" s="310">
        <f t="shared" si="131"/>
        <v>25440</v>
      </c>
    </row>
    <row r="375" spans="1:17" x14ac:dyDescent="0.3">
      <c r="A375" s="203">
        <v>9</v>
      </c>
      <c r="B375" s="218" t="s">
        <v>259</v>
      </c>
      <c r="C375" s="217">
        <f t="shared" si="126"/>
        <v>28680</v>
      </c>
      <c r="D375" s="217">
        <f t="shared" si="132"/>
        <v>28680</v>
      </c>
      <c r="E375" s="256">
        <f t="shared" si="127"/>
        <v>28680</v>
      </c>
      <c r="F375" s="307">
        <v>180</v>
      </c>
      <c r="G375" s="246">
        <f t="shared" si="128"/>
        <v>2.25</v>
      </c>
      <c r="H375" s="308">
        <f t="shared" si="129"/>
        <v>5625</v>
      </c>
      <c r="I375" s="308">
        <f t="shared" si="130"/>
        <v>11250</v>
      </c>
      <c r="J375" s="308">
        <f t="shared" si="125"/>
        <v>12600</v>
      </c>
      <c r="K375" s="309">
        <f t="shared" si="133"/>
        <v>18300</v>
      </c>
      <c r="L375" s="309">
        <f t="shared" si="134"/>
        <v>23900</v>
      </c>
      <c r="M375" s="246" t="s">
        <v>295</v>
      </c>
      <c r="N375" s="246"/>
      <c r="O375" s="308"/>
      <c r="P375" s="246">
        <v>1.2</v>
      </c>
      <c r="Q375" s="310">
        <f t="shared" si="131"/>
        <v>28680</v>
      </c>
    </row>
    <row r="376" spans="1:17" x14ac:dyDescent="0.3">
      <c r="A376" s="203">
        <v>10</v>
      </c>
      <c r="B376" s="218" t="s">
        <v>260</v>
      </c>
      <c r="C376" s="217">
        <f t="shared" si="126"/>
        <v>31800</v>
      </c>
      <c r="D376" s="217">
        <f t="shared" si="132"/>
        <v>31800</v>
      </c>
      <c r="E376" s="256">
        <f t="shared" si="127"/>
        <v>31800</v>
      </c>
      <c r="F376" s="307">
        <v>200</v>
      </c>
      <c r="G376" s="246">
        <f t="shared" si="128"/>
        <v>2.5</v>
      </c>
      <c r="H376" s="308">
        <f t="shared" si="129"/>
        <v>6250</v>
      </c>
      <c r="I376" s="308">
        <f t="shared" si="130"/>
        <v>12500</v>
      </c>
      <c r="J376" s="308">
        <f t="shared" si="125"/>
        <v>14000</v>
      </c>
      <c r="K376" s="309">
        <f t="shared" si="133"/>
        <v>20300</v>
      </c>
      <c r="L376" s="309">
        <f t="shared" si="134"/>
        <v>26500</v>
      </c>
      <c r="M376" s="246" t="s">
        <v>301</v>
      </c>
      <c r="N376" s="246"/>
      <c r="O376" s="308"/>
      <c r="P376" s="246">
        <v>1.2</v>
      </c>
      <c r="Q376" s="310">
        <f t="shared" si="131"/>
        <v>31800</v>
      </c>
    </row>
    <row r="377" spans="1:17" x14ac:dyDescent="0.3">
      <c r="A377" s="203">
        <v>11</v>
      </c>
      <c r="B377" s="218" t="s">
        <v>261</v>
      </c>
      <c r="C377" s="217">
        <f t="shared" si="126"/>
        <v>43800</v>
      </c>
      <c r="D377" s="217">
        <f t="shared" si="132"/>
        <v>43800</v>
      </c>
      <c r="E377" s="256">
        <f t="shared" si="127"/>
        <v>43800</v>
      </c>
      <c r="F377" s="307">
        <v>220</v>
      </c>
      <c r="G377" s="246">
        <f t="shared" si="128"/>
        <v>2.75</v>
      </c>
      <c r="H377" s="308">
        <f t="shared" si="129"/>
        <v>6875</v>
      </c>
      <c r="I377" s="308">
        <f t="shared" si="130"/>
        <v>13750</v>
      </c>
      <c r="J377" s="308">
        <f t="shared" si="125"/>
        <v>15400</v>
      </c>
      <c r="K377" s="309">
        <f t="shared" si="133"/>
        <v>22300</v>
      </c>
      <c r="L377" s="309">
        <f t="shared" si="134"/>
        <v>29200</v>
      </c>
      <c r="M377" s="246" t="s">
        <v>299</v>
      </c>
      <c r="N377" s="246"/>
      <c r="O377" s="308"/>
      <c r="P377" s="246">
        <v>1.5</v>
      </c>
      <c r="Q377" s="310">
        <f t="shared" si="131"/>
        <v>43800</v>
      </c>
    </row>
    <row r="378" spans="1:17" x14ac:dyDescent="0.3">
      <c r="A378" s="203">
        <v>12</v>
      </c>
      <c r="B378" s="218" t="s">
        <v>262</v>
      </c>
      <c r="C378" s="217">
        <f t="shared" si="126"/>
        <v>47700</v>
      </c>
      <c r="D378" s="217">
        <f t="shared" si="132"/>
        <v>47700</v>
      </c>
      <c r="E378" s="256">
        <f t="shared" si="127"/>
        <v>47700</v>
      </c>
      <c r="F378" s="307">
        <v>240</v>
      </c>
      <c r="G378" s="246">
        <f t="shared" si="128"/>
        <v>3</v>
      </c>
      <c r="H378" s="308">
        <f t="shared" si="129"/>
        <v>7500</v>
      </c>
      <c r="I378" s="308">
        <f t="shared" si="130"/>
        <v>15000</v>
      </c>
      <c r="J378" s="308">
        <f t="shared" si="125"/>
        <v>16800</v>
      </c>
      <c r="K378" s="309">
        <f t="shared" si="133"/>
        <v>24300</v>
      </c>
      <c r="L378" s="309">
        <f t="shared" si="134"/>
        <v>31800</v>
      </c>
      <c r="M378" s="246" t="s">
        <v>307</v>
      </c>
      <c r="N378" s="246"/>
      <c r="O378" s="308"/>
      <c r="P378" s="246">
        <v>1.5</v>
      </c>
      <c r="Q378" s="310">
        <f t="shared" si="131"/>
        <v>47700</v>
      </c>
    </row>
    <row r="379" spans="1:17" x14ac:dyDescent="0.3">
      <c r="A379" s="203">
        <v>13</v>
      </c>
      <c r="B379" s="218" t="s">
        <v>263</v>
      </c>
      <c r="C379" s="217">
        <f t="shared" si="126"/>
        <v>51750</v>
      </c>
      <c r="D379" s="217">
        <f t="shared" si="132"/>
        <v>51750</v>
      </c>
      <c r="E379" s="256">
        <f t="shared" si="127"/>
        <v>51750</v>
      </c>
      <c r="F379" s="307">
        <v>260</v>
      </c>
      <c r="G379" s="246">
        <f t="shared" si="128"/>
        <v>3.25</v>
      </c>
      <c r="H379" s="308">
        <f t="shared" si="129"/>
        <v>8125</v>
      </c>
      <c r="I379" s="308">
        <f t="shared" si="130"/>
        <v>16250</v>
      </c>
      <c r="J379" s="308">
        <f t="shared" si="125"/>
        <v>18200</v>
      </c>
      <c r="K379" s="309">
        <f t="shared" si="133"/>
        <v>26400</v>
      </c>
      <c r="L379" s="309">
        <f t="shared" si="134"/>
        <v>34500</v>
      </c>
      <c r="M379" s="246" t="s">
        <v>309</v>
      </c>
      <c r="N379" s="246"/>
      <c r="O379" s="308"/>
      <c r="P379" s="246">
        <v>1.5</v>
      </c>
      <c r="Q379" s="310">
        <f t="shared" si="131"/>
        <v>51750</v>
      </c>
    </row>
    <row r="380" spans="1:17" x14ac:dyDescent="0.3">
      <c r="A380" s="203">
        <v>14</v>
      </c>
      <c r="B380" s="218" t="s">
        <v>264</v>
      </c>
      <c r="C380" s="217">
        <f t="shared" si="126"/>
        <v>55650</v>
      </c>
      <c r="D380" s="217">
        <f t="shared" si="132"/>
        <v>55650</v>
      </c>
      <c r="E380" s="256">
        <f t="shared" si="127"/>
        <v>55650</v>
      </c>
      <c r="F380" s="307">
        <v>280</v>
      </c>
      <c r="G380" s="246">
        <f t="shared" si="128"/>
        <v>3.5</v>
      </c>
      <c r="H380" s="308">
        <f t="shared" si="129"/>
        <v>8750</v>
      </c>
      <c r="I380" s="308">
        <f t="shared" si="130"/>
        <v>17500</v>
      </c>
      <c r="J380" s="308">
        <f t="shared" si="125"/>
        <v>19600</v>
      </c>
      <c r="K380" s="309">
        <f t="shared" si="133"/>
        <v>28400</v>
      </c>
      <c r="L380" s="309">
        <f t="shared" si="134"/>
        <v>37100</v>
      </c>
      <c r="M380" s="246" t="s">
        <v>302</v>
      </c>
      <c r="N380" s="246"/>
      <c r="O380" s="308"/>
      <c r="P380" s="246">
        <v>1.5</v>
      </c>
      <c r="Q380" s="310">
        <f t="shared" si="131"/>
        <v>55650</v>
      </c>
    </row>
    <row r="381" spans="1:17" x14ac:dyDescent="0.3">
      <c r="A381" s="203">
        <v>15</v>
      </c>
      <c r="B381" s="218" t="s">
        <v>276</v>
      </c>
      <c r="C381" s="217">
        <f t="shared" si="126"/>
        <v>59700</v>
      </c>
      <c r="D381" s="217">
        <f t="shared" si="132"/>
        <v>59700</v>
      </c>
      <c r="E381" s="256">
        <f t="shared" si="127"/>
        <v>59700</v>
      </c>
      <c r="F381" s="307">
        <v>300</v>
      </c>
      <c r="G381" s="246">
        <f t="shared" si="128"/>
        <v>3.75</v>
      </c>
      <c r="H381" s="308">
        <f t="shared" si="129"/>
        <v>9375</v>
      </c>
      <c r="I381" s="308">
        <f t="shared" si="130"/>
        <v>18750</v>
      </c>
      <c r="J381" s="308">
        <f t="shared" si="125"/>
        <v>21000</v>
      </c>
      <c r="K381" s="309">
        <f t="shared" si="133"/>
        <v>30400</v>
      </c>
      <c r="L381" s="309">
        <f t="shared" si="134"/>
        <v>39800</v>
      </c>
      <c r="M381" s="246" t="s">
        <v>308</v>
      </c>
      <c r="N381" s="246"/>
      <c r="O381" s="308"/>
      <c r="P381" s="246">
        <v>1.5</v>
      </c>
      <c r="Q381" s="310">
        <f t="shared" si="131"/>
        <v>59700</v>
      </c>
    </row>
    <row r="382" spans="1:17" x14ac:dyDescent="0.3">
      <c r="A382" s="203">
        <v>16</v>
      </c>
      <c r="B382" s="218" t="s">
        <v>265</v>
      </c>
      <c r="C382" s="217">
        <f t="shared" si="126"/>
        <v>84800</v>
      </c>
      <c r="D382" s="217">
        <f t="shared" si="132"/>
        <v>84800</v>
      </c>
      <c r="E382" s="256">
        <f t="shared" si="127"/>
        <v>84800</v>
      </c>
      <c r="F382" s="307">
        <v>320</v>
      </c>
      <c r="G382" s="246">
        <f t="shared" si="128"/>
        <v>4</v>
      </c>
      <c r="H382" s="308">
        <f t="shared" si="129"/>
        <v>10000</v>
      </c>
      <c r="I382" s="308">
        <f t="shared" si="130"/>
        <v>20000</v>
      </c>
      <c r="J382" s="308">
        <f t="shared" si="125"/>
        <v>22400</v>
      </c>
      <c r="K382" s="309">
        <f t="shared" si="133"/>
        <v>32400</v>
      </c>
      <c r="L382" s="309">
        <f t="shared" si="134"/>
        <v>42400</v>
      </c>
      <c r="M382" s="246" t="s">
        <v>298</v>
      </c>
      <c r="N382" s="246"/>
      <c r="O382" s="308"/>
      <c r="P382" s="246">
        <v>2</v>
      </c>
      <c r="Q382" s="310">
        <f t="shared" si="131"/>
        <v>84800</v>
      </c>
    </row>
    <row r="383" spans="1:17" x14ac:dyDescent="0.3">
      <c r="A383" s="203">
        <v>17</v>
      </c>
      <c r="B383" s="218" t="s">
        <v>266</v>
      </c>
      <c r="C383" s="217">
        <f t="shared" si="126"/>
        <v>90200</v>
      </c>
      <c r="D383" s="217">
        <f t="shared" si="132"/>
        <v>90200</v>
      </c>
      <c r="E383" s="256">
        <f t="shared" si="127"/>
        <v>90200</v>
      </c>
      <c r="F383" s="307">
        <v>340</v>
      </c>
      <c r="G383" s="246">
        <f t="shared" si="128"/>
        <v>4.25</v>
      </c>
      <c r="H383" s="308">
        <f t="shared" si="129"/>
        <v>10625</v>
      </c>
      <c r="I383" s="308">
        <f t="shared" si="130"/>
        <v>21250</v>
      </c>
      <c r="J383" s="308">
        <f t="shared" si="125"/>
        <v>23800</v>
      </c>
      <c r="K383" s="309">
        <f t="shared" si="133"/>
        <v>34500</v>
      </c>
      <c r="L383" s="309">
        <f t="shared" si="134"/>
        <v>45100</v>
      </c>
      <c r="M383" s="246" t="s">
        <v>300</v>
      </c>
      <c r="N383" s="246"/>
      <c r="O383" s="308"/>
      <c r="P383" s="246">
        <v>2</v>
      </c>
      <c r="Q383" s="310">
        <f t="shared" si="131"/>
        <v>90200</v>
      </c>
    </row>
    <row r="384" spans="1:17" x14ac:dyDescent="0.3">
      <c r="A384" s="203">
        <v>18</v>
      </c>
      <c r="B384" s="218" t="s">
        <v>267</v>
      </c>
      <c r="C384" s="217">
        <f t="shared" si="126"/>
        <v>95400</v>
      </c>
      <c r="D384" s="217">
        <f t="shared" si="132"/>
        <v>95400</v>
      </c>
      <c r="E384" s="256">
        <f t="shared" si="127"/>
        <v>95400</v>
      </c>
      <c r="F384" s="307">
        <v>360</v>
      </c>
      <c r="G384" s="246">
        <f t="shared" si="128"/>
        <v>4.5</v>
      </c>
      <c r="H384" s="308">
        <f t="shared" si="129"/>
        <v>11250</v>
      </c>
      <c r="I384" s="308">
        <f t="shared" si="130"/>
        <v>22500</v>
      </c>
      <c r="J384" s="308">
        <f t="shared" si="125"/>
        <v>25200</v>
      </c>
      <c r="K384" s="309">
        <f t="shared" si="133"/>
        <v>36500</v>
      </c>
      <c r="L384" s="309">
        <f t="shared" si="134"/>
        <v>47700</v>
      </c>
      <c r="M384" s="246" t="s">
        <v>314</v>
      </c>
      <c r="N384" s="246"/>
      <c r="O384" s="308"/>
      <c r="P384" s="246">
        <v>2</v>
      </c>
      <c r="Q384" s="310">
        <f t="shared" si="131"/>
        <v>95400</v>
      </c>
    </row>
    <row r="385" spans="1:17" x14ac:dyDescent="0.3">
      <c r="A385" s="203">
        <v>19</v>
      </c>
      <c r="B385" s="218" t="s">
        <v>268</v>
      </c>
      <c r="C385" s="217">
        <f t="shared" si="126"/>
        <v>100800</v>
      </c>
      <c r="D385" s="217">
        <f t="shared" si="132"/>
        <v>100800</v>
      </c>
      <c r="E385" s="256">
        <f t="shared" si="127"/>
        <v>100800</v>
      </c>
      <c r="F385" s="307">
        <v>380</v>
      </c>
      <c r="G385" s="246">
        <f t="shared" si="128"/>
        <v>4.75</v>
      </c>
      <c r="H385" s="308">
        <f t="shared" si="129"/>
        <v>11875</v>
      </c>
      <c r="I385" s="308">
        <f t="shared" si="130"/>
        <v>23750</v>
      </c>
      <c r="J385" s="308">
        <f t="shared" si="125"/>
        <v>26600</v>
      </c>
      <c r="K385" s="309">
        <f t="shared" si="133"/>
        <v>38500</v>
      </c>
      <c r="L385" s="309">
        <f t="shared" si="134"/>
        <v>50400</v>
      </c>
      <c r="M385" s="246"/>
      <c r="N385" s="246"/>
      <c r="O385" s="308"/>
      <c r="P385" s="246">
        <v>2</v>
      </c>
      <c r="Q385" s="310">
        <f t="shared" si="131"/>
        <v>100800</v>
      </c>
    </row>
    <row r="386" spans="1:17" x14ac:dyDescent="0.3">
      <c r="A386" s="203">
        <v>20</v>
      </c>
      <c r="B386" s="218" t="s">
        <v>269</v>
      </c>
      <c r="C386" s="217">
        <f t="shared" si="126"/>
        <v>106000</v>
      </c>
      <c r="D386" s="217">
        <f t="shared" si="132"/>
        <v>106000</v>
      </c>
      <c r="E386" s="256">
        <f t="shared" si="127"/>
        <v>106000</v>
      </c>
      <c r="F386" s="307">
        <v>400</v>
      </c>
      <c r="G386" s="246">
        <f t="shared" si="128"/>
        <v>5</v>
      </c>
      <c r="H386" s="308">
        <f t="shared" si="129"/>
        <v>12500</v>
      </c>
      <c r="I386" s="308">
        <f t="shared" si="130"/>
        <v>25000</v>
      </c>
      <c r="J386" s="308">
        <f t="shared" si="125"/>
        <v>28000</v>
      </c>
      <c r="K386" s="309">
        <f t="shared" si="133"/>
        <v>40500</v>
      </c>
      <c r="L386" s="309">
        <f t="shared" si="134"/>
        <v>53000</v>
      </c>
      <c r="M386" s="246" t="s">
        <v>313</v>
      </c>
      <c r="N386" s="246"/>
      <c r="O386" s="308"/>
      <c r="P386" s="246">
        <v>2</v>
      </c>
      <c r="Q386" s="310">
        <f t="shared" si="131"/>
        <v>106000</v>
      </c>
    </row>
    <row r="387" spans="1:17" x14ac:dyDescent="0.3">
      <c r="A387" s="203">
        <v>21</v>
      </c>
      <c r="B387" s="218" t="s">
        <v>270</v>
      </c>
      <c r="C387" s="217">
        <f t="shared" si="126"/>
        <v>111400</v>
      </c>
      <c r="D387" s="217">
        <f t="shared" si="132"/>
        <v>111400</v>
      </c>
      <c r="E387" s="256">
        <f t="shared" si="127"/>
        <v>111400</v>
      </c>
      <c r="F387" s="307">
        <v>420</v>
      </c>
      <c r="G387" s="246">
        <f t="shared" si="128"/>
        <v>5.25</v>
      </c>
      <c r="H387" s="308">
        <f t="shared" si="129"/>
        <v>13125</v>
      </c>
      <c r="I387" s="308">
        <f t="shared" si="130"/>
        <v>26250</v>
      </c>
      <c r="J387" s="308">
        <f t="shared" si="125"/>
        <v>29400</v>
      </c>
      <c r="K387" s="309">
        <f t="shared" si="133"/>
        <v>42600</v>
      </c>
      <c r="L387" s="309">
        <f t="shared" si="134"/>
        <v>55700</v>
      </c>
      <c r="M387" s="246" t="s">
        <v>315</v>
      </c>
      <c r="N387" s="246"/>
      <c r="O387" s="308"/>
      <c r="P387" s="246">
        <v>2</v>
      </c>
      <c r="Q387" s="310">
        <f t="shared" si="131"/>
        <v>111400</v>
      </c>
    </row>
    <row r="388" spans="1:17" x14ac:dyDescent="0.3">
      <c r="A388" s="203">
        <v>22</v>
      </c>
      <c r="B388" s="218" t="s">
        <v>271</v>
      </c>
      <c r="C388" s="217">
        <f t="shared" si="126"/>
        <v>116600</v>
      </c>
      <c r="D388" s="217">
        <f t="shared" si="132"/>
        <v>116600</v>
      </c>
      <c r="E388" s="256">
        <f t="shared" si="127"/>
        <v>116600</v>
      </c>
      <c r="F388" s="307">
        <v>440</v>
      </c>
      <c r="G388" s="246">
        <f t="shared" si="128"/>
        <v>5.5</v>
      </c>
      <c r="H388" s="308">
        <f t="shared" si="129"/>
        <v>13750</v>
      </c>
      <c r="I388" s="308">
        <f t="shared" si="130"/>
        <v>27500</v>
      </c>
      <c r="J388" s="308">
        <f t="shared" si="125"/>
        <v>30800</v>
      </c>
      <c r="K388" s="309">
        <f t="shared" si="133"/>
        <v>44600</v>
      </c>
      <c r="L388" s="309">
        <f t="shared" si="134"/>
        <v>58300</v>
      </c>
      <c r="M388" s="246" t="s">
        <v>311</v>
      </c>
      <c r="N388" s="246"/>
      <c r="O388" s="308"/>
      <c r="P388" s="246">
        <v>2</v>
      </c>
      <c r="Q388" s="310">
        <f t="shared" si="131"/>
        <v>116600</v>
      </c>
    </row>
    <row r="389" spans="1:17" x14ac:dyDescent="0.3">
      <c r="A389" s="203">
        <v>23</v>
      </c>
      <c r="B389" s="218" t="s">
        <v>272</v>
      </c>
      <c r="C389" s="217">
        <f t="shared" si="126"/>
        <v>122000</v>
      </c>
      <c r="D389" s="217">
        <f t="shared" si="132"/>
        <v>122000</v>
      </c>
      <c r="E389" s="256">
        <f t="shared" si="127"/>
        <v>122000</v>
      </c>
      <c r="F389" s="307">
        <v>460</v>
      </c>
      <c r="G389" s="246">
        <f t="shared" si="128"/>
        <v>5.75</v>
      </c>
      <c r="H389" s="308">
        <f t="shared" si="129"/>
        <v>14375</v>
      </c>
      <c r="I389" s="308">
        <f t="shared" si="130"/>
        <v>28750</v>
      </c>
      <c r="J389" s="308">
        <f t="shared" si="125"/>
        <v>32200</v>
      </c>
      <c r="K389" s="309">
        <f t="shared" si="133"/>
        <v>46600</v>
      </c>
      <c r="L389" s="309">
        <f t="shared" si="134"/>
        <v>61000</v>
      </c>
      <c r="M389" s="246"/>
      <c r="N389" s="246"/>
      <c r="O389" s="308"/>
      <c r="P389" s="246">
        <v>2</v>
      </c>
      <c r="Q389" s="310">
        <f t="shared" si="131"/>
        <v>122000</v>
      </c>
    </row>
    <row r="390" spans="1:17" x14ac:dyDescent="0.3">
      <c r="A390" s="203">
        <v>24</v>
      </c>
      <c r="B390" s="218" t="s">
        <v>273</v>
      </c>
      <c r="C390" s="217">
        <f t="shared" si="126"/>
        <v>127200</v>
      </c>
      <c r="D390" s="217">
        <f t="shared" si="132"/>
        <v>127200</v>
      </c>
      <c r="E390" s="256">
        <f t="shared" si="127"/>
        <v>127200</v>
      </c>
      <c r="F390" s="307">
        <v>480</v>
      </c>
      <c r="G390" s="246">
        <f t="shared" si="128"/>
        <v>6</v>
      </c>
      <c r="H390" s="308">
        <f t="shared" si="129"/>
        <v>15000</v>
      </c>
      <c r="I390" s="308">
        <f t="shared" si="130"/>
        <v>30000</v>
      </c>
      <c r="J390" s="308">
        <f t="shared" si="125"/>
        <v>33600</v>
      </c>
      <c r="K390" s="309">
        <f t="shared" si="133"/>
        <v>48600</v>
      </c>
      <c r="L390" s="309">
        <f t="shared" si="134"/>
        <v>63600</v>
      </c>
      <c r="M390" s="246" t="s">
        <v>310</v>
      </c>
      <c r="N390" s="246"/>
      <c r="O390" s="308"/>
      <c r="P390" s="246">
        <v>2</v>
      </c>
      <c r="Q390" s="310">
        <f t="shared" si="131"/>
        <v>127200</v>
      </c>
    </row>
    <row r="391" spans="1:17" x14ac:dyDescent="0.3">
      <c r="A391" s="203">
        <v>25</v>
      </c>
      <c r="B391" s="218" t="s">
        <v>274</v>
      </c>
      <c r="C391" s="217">
        <f t="shared" si="126"/>
        <v>132600</v>
      </c>
      <c r="D391" s="217">
        <f t="shared" si="132"/>
        <v>132600</v>
      </c>
      <c r="E391" s="256">
        <f t="shared" si="127"/>
        <v>132600</v>
      </c>
      <c r="F391" s="307">
        <v>500</v>
      </c>
      <c r="G391" s="246">
        <f t="shared" si="128"/>
        <v>6.25</v>
      </c>
      <c r="H391" s="308">
        <f t="shared" si="129"/>
        <v>15625</v>
      </c>
      <c r="I391" s="308">
        <f t="shared" si="130"/>
        <v>31250</v>
      </c>
      <c r="J391" s="308">
        <f t="shared" si="125"/>
        <v>35000</v>
      </c>
      <c r="K391" s="309">
        <f t="shared" si="133"/>
        <v>50700</v>
      </c>
      <c r="L391" s="309">
        <f t="shared" si="134"/>
        <v>66300</v>
      </c>
      <c r="M391" s="246" t="s">
        <v>312</v>
      </c>
      <c r="N391" s="246"/>
      <c r="O391" s="308"/>
      <c r="P391" s="246">
        <v>2</v>
      </c>
      <c r="Q391" s="310">
        <f t="shared" si="131"/>
        <v>132600</v>
      </c>
    </row>
    <row r="392" spans="1:17" x14ac:dyDescent="0.3">
      <c r="A392" s="203">
        <v>26</v>
      </c>
      <c r="B392" s="218" t="s">
        <v>277</v>
      </c>
      <c r="C392" s="308" t="s">
        <v>282</v>
      </c>
      <c r="D392" s="308" t="s">
        <v>282</v>
      </c>
      <c r="E392" s="308" t="s">
        <v>282</v>
      </c>
      <c r="F392" s="246"/>
      <c r="G392" s="246"/>
      <c r="H392" s="246"/>
      <c r="I392" s="246"/>
      <c r="J392" s="246"/>
      <c r="K392" s="246"/>
      <c r="L392" s="246"/>
      <c r="M392" s="246" t="s">
        <v>316</v>
      </c>
      <c r="N392" s="246"/>
      <c r="O392" s="308"/>
      <c r="P392" s="246"/>
      <c r="Q392" s="246"/>
    </row>
  </sheetData>
  <protectedRanges>
    <protectedRange password="CC6D" sqref="B291:B292 B296:B354 Q128:Q130" name="Tartomány1"/>
    <protectedRange password="CC6D" sqref="A285 A288:A358" name="Tartomány1_1"/>
    <protectedRange password="CC6D" sqref="B285" name="Tartomány1_2"/>
  </protectedRanges>
  <mergeCells count="154">
    <mergeCell ref="A365:B365"/>
    <mergeCell ref="AA286:AB286"/>
    <mergeCell ref="C285:F285"/>
    <mergeCell ref="A285:A287"/>
    <mergeCell ref="B285:B287"/>
    <mergeCell ref="L273:O273"/>
    <mergeCell ref="M286:O286"/>
    <mergeCell ref="H265:I265"/>
    <mergeCell ref="H286:J286"/>
    <mergeCell ref="H285:R285"/>
    <mergeCell ref="K286:L286"/>
    <mergeCell ref="H272:I272"/>
    <mergeCell ref="H270:I270"/>
    <mergeCell ref="C267:C268"/>
    <mergeCell ref="C269:C270"/>
    <mergeCell ref="M366:M367"/>
    <mergeCell ref="F238:G238"/>
    <mergeCell ref="F239:G239"/>
    <mergeCell ref="F240:G240"/>
    <mergeCell ref="P286:R286"/>
    <mergeCell ref="F237:G237"/>
    <mergeCell ref="AX285:AY286"/>
    <mergeCell ref="AV285:AW286"/>
    <mergeCell ref="AR285:AS286"/>
    <mergeCell ref="AT285:AU286"/>
    <mergeCell ref="N266:O266"/>
    <mergeCell ref="D267:G267"/>
    <mergeCell ref="D268:G268"/>
    <mergeCell ref="H266:I266"/>
    <mergeCell ref="H268:I268"/>
    <mergeCell ref="L267:M268"/>
    <mergeCell ref="H271:I271"/>
    <mergeCell ref="AZ285:BA286"/>
    <mergeCell ref="BB285:BC286"/>
    <mergeCell ref="BD285:BE286"/>
    <mergeCell ref="D270:G270"/>
    <mergeCell ref="D271:G271"/>
    <mergeCell ref="D272:G272"/>
    <mergeCell ref="N267:O272"/>
    <mergeCell ref="F234:G234"/>
    <mergeCell ref="F235:G235"/>
    <mergeCell ref="D275:G275"/>
    <mergeCell ref="D269:G269"/>
    <mergeCell ref="H267:I267"/>
    <mergeCell ref="H269:I269"/>
    <mergeCell ref="D273:G273"/>
    <mergeCell ref="D274:G274"/>
    <mergeCell ref="F236:G236"/>
    <mergeCell ref="H275:I275"/>
    <mergeCell ref="L275:O275"/>
    <mergeCell ref="AP285:AQ286"/>
    <mergeCell ref="I235:I240"/>
    <mergeCell ref="AN285:AO286"/>
    <mergeCell ref="L274:O274"/>
    <mergeCell ref="H273:I273"/>
    <mergeCell ref="H274:I274"/>
    <mergeCell ref="BQ282:BQ283"/>
    <mergeCell ref="BS282:BS283"/>
    <mergeCell ref="BU282:BU283"/>
    <mergeCell ref="BW282:BW283"/>
    <mergeCell ref="BG285:BH286"/>
    <mergeCell ref="BI285:BJ286"/>
    <mergeCell ref="BK285:BL286"/>
    <mergeCell ref="BM285:BN286"/>
    <mergeCell ref="BO285:BP286"/>
    <mergeCell ref="BQ285:BR286"/>
    <mergeCell ref="BS285:BT286"/>
    <mergeCell ref="BU285:BV286"/>
    <mergeCell ref="BW285:BX286"/>
    <mergeCell ref="BG282:BG283"/>
    <mergeCell ref="BI282:BI283"/>
    <mergeCell ref="BK282:BK283"/>
    <mergeCell ref="BM282:BM283"/>
    <mergeCell ref="BO282:BO283"/>
    <mergeCell ref="CJ282:CJ283"/>
    <mergeCell ref="CL282:CL283"/>
    <mergeCell ref="CN282:CN283"/>
    <mergeCell ref="CP282:CP283"/>
    <mergeCell ref="BZ285:CA286"/>
    <mergeCell ref="CB285:CC286"/>
    <mergeCell ref="CD285:CE286"/>
    <mergeCell ref="CF285:CG286"/>
    <mergeCell ref="CH285:CI286"/>
    <mergeCell ref="CJ285:CK286"/>
    <mergeCell ref="CL285:CM286"/>
    <mergeCell ref="CN285:CO286"/>
    <mergeCell ref="CP285:CQ286"/>
    <mergeCell ref="BZ282:BZ283"/>
    <mergeCell ref="CB282:CB283"/>
    <mergeCell ref="CD282:CD283"/>
    <mergeCell ref="CF282:CF283"/>
    <mergeCell ref="CH282:CH283"/>
    <mergeCell ref="B43:C43"/>
    <mergeCell ref="B44:C44"/>
    <mergeCell ref="D111:E111"/>
    <mergeCell ref="H276:I276"/>
    <mergeCell ref="N264:O264"/>
    <mergeCell ref="L264:M264"/>
    <mergeCell ref="H263:K264"/>
    <mergeCell ref="F131:K131"/>
    <mergeCell ref="F111:AL111"/>
    <mergeCell ref="F110:AL110"/>
    <mergeCell ref="H208:I208"/>
    <mergeCell ref="D110:E110"/>
    <mergeCell ref="B45:C45"/>
    <mergeCell ref="B46:C46"/>
    <mergeCell ref="B47:C47"/>
    <mergeCell ref="B48:C48"/>
    <mergeCell ref="B49:C49"/>
    <mergeCell ref="C271:C272"/>
    <mergeCell ref="L263:O263"/>
    <mergeCell ref="N265:O265"/>
    <mergeCell ref="L265:M265"/>
    <mergeCell ref="L271:M272"/>
    <mergeCell ref="L269:M270"/>
    <mergeCell ref="L266:M266"/>
    <mergeCell ref="B32:B33"/>
    <mergeCell ref="B35:B36"/>
    <mergeCell ref="B34:C34"/>
    <mergeCell ref="B37:C37"/>
    <mergeCell ref="B38:C38"/>
    <mergeCell ref="B39:C39"/>
    <mergeCell ref="B40:C40"/>
    <mergeCell ref="B41:C41"/>
    <mergeCell ref="B42:C42"/>
    <mergeCell ref="L31:M31"/>
    <mergeCell ref="L47:M47"/>
    <mergeCell ref="L48:M48"/>
    <mergeCell ref="L49:M49"/>
    <mergeCell ref="L37:M37"/>
    <mergeCell ref="L36:M36"/>
    <mergeCell ref="L35:M35"/>
    <mergeCell ref="L34:M34"/>
    <mergeCell ref="L33:M33"/>
    <mergeCell ref="L32:M32"/>
    <mergeCell ref="L38:M38"/>
    <mergeCell ref="L39:M39"/>
    <mergeCell ref="L40:M40"/>
    <mergeCell ref="L41:M41"/>
    <mergeCell ref="L42:M42"/>
    <mergeCell ref="L43:M43"/>
    <mergeCell ref="L44:M44"/>
    <mergeCell ref="L45:M45"/>
    <mergeCell ref="L46:M46"/>
    <mergeCell ref="I96:AA96"/>
    <mergeCell ref="I97:AA97"/>
    <mergeCell ref="I98:AA98"/>
    <mergeCell ref="AN280:BE280"/>
    <mergeCell ref="I99:AA99"/>
    <mergeCell ref="I100:AA100"/>
    <mergeCell ref="I101:AA101"/>
    <mergeCell ref="I103:AA103"/>
    <mergeCell ref="I104:AA104"/>
    <mergeCell ref="I102:AA102"/>
  </mergeCells>
  <phoneticPr fontId="23" type="noConversion"/>
  <conditionalFormatting sqref="G267:G275">
    <cfRule type="cellIs" dxfId="1" priority="1" stopIfTrue="1" operator="equal">
      <formula>0</formula>
    </cfRule>
    <cfRule type="cellIs" dxfId="0" priority="2" stopIfTrue="1" operator="equal">
      <formula>1</formula>
    </cfRule>
  </conditionalFormatting>
  <pageMargins left="0.75" right="0.75" top="1" bottom="1" header="0.5" footer="0.5"/>
  <pageSetup paperSize="9"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3</vt:i4>
      </vt:variant>
    </vt:vector>
  </HeadingPairs>
  <TitlesOfParts>
    <vt:vector size="13" baseType="lpstr">
      <vt:lpstr>Munka4</vt:lpstr>
      <vt:lpstr>Garázskapu árkalkulátor</vt:lpstr>
      <vt:lpstr>Beépítési helyigény</vt:lpstr>
      <vt:lpstr>Kérdések és javaslatok</vt:lpstr>
      <vt:lpstr>Felmérési lap</vt:lpstr>
      <vt:lpstr>Referencia</vt:lpstr>
      <vt:lpstr>ÁESZF</vt:lpstr>
      <vt:lpstr>Megrendelőlap</vt:lpstr>
      <vt:lpstr>Munka1</vt:lpstr>
      <vt:lpstr>Sheet2</vt:lpstr>
      <vt:lpstr>'Garázskapu árkalkulátor'!Print_Area</vt:lpstr>
      <vt:lpstr>'Kérdések és javaslatok'!Print_Area</vt:lpstr>
      <vt:lpstr>Megrendelőlap!Print_Area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Intel</dc:creator>
  <cp:lastModifiedBy>Hu Maller</cp:lastModifiedBy>
  <cp:lastPrinted>2023-11-14T11:32:35Z</cp:lastPrinted>
  <dcterms:created xsi:type="dcterms:W3CDTF">2010-01-26T07:16:49Z</dcterms:created>
  <dcterms:modified xsi:type="dcterms:W3CDTF">2024-03-05T12:35:09Z</dcterms:modified>
</cp:coreProperties>
</file>